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TWkm/EK6oXiXJ/V2OOoDVZ8LsatPSGlAV4IcWeuuIAEcZw6ICZ08cerwOcv91HTJ+9KAURvybN1py2Ib/SGH5g==" workbookSaltValue="aOPch/Xn+ZKyFWjIn/g3T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8"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C12" i="14"/>
  <c r="K12" i="14" s="1"/>
  <c r="AB13" i="21"/>
  <c r="BG10" i="8"/>
  <c r="M13" i="2"/>
  <c r="N13" i="2"/>
  <c r="H10" i="2"/>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N18" i="11"/>
  <c r="G19" i="7"/>
  <c r="AL19" i="2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<sst xmlns="http://schemas.openxmlformats.org/spreadsheetml/2006/main" count="2102" uniqueCount="918">
  <si>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</si>
  <si>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</si>
  <si>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</si>
  <si>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</si>
  <si>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</si>
  <si>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</si>
  <si>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</si>
  <si>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</si>
  <si>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</si>
  <si>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</si>
  <si>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</si>
  <si>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</si>
  <si>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</si>
  <si>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</si>
  <si>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</si>
  <si>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</si>
  <si>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</si>
  <si>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</si>
  <si>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</si>
  <si>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</si>
  <si>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</si>
  <si>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</si>
  <si>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</si>
  <si>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</si>
  <si>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</si>
  <si>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</si>
  <si>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</si>
  <si>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</si>
  <si>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</si>
  <si>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</si>
  <si>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</si>
  <si>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</si>
  <si>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</si>
  <si>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</si>
  <si>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</si>
  <si>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</si>
  <si>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</si>
  <si>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</si>
  <si>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</si>
  <si>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</si>
  <si>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</si>
  <si>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</si>
  <si>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</si>
  <si>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</si>
  <si>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</si>
  <si>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</si>
  <si>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</si>
  <si>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</si>
  <si>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</si>
  <si>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</si>
  <si>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</si>
  <si>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</si>
  <si>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</si>
  <si>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</si>
  <si>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</si>
  <si>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</si>
  <si>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</si>
  <si>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</si>
  <si>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</si>
  <si>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</si>
  <si>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</si>
  <si>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</si>
  <si>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</si>
  <si>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</si>
  <si>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</si>
  <si>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</si>
  <si>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</si>
  <si>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</si>
  <si>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</si>
  <si>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</si>
  <si>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</si>
  <si>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</si>
  <si>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</si>
  <si>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</si>
  <si>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</si>
  <si>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</si>
  <si>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</si>
  <si>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</si>
  <si>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</si>
  <si>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</si>
  <si>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</si>
  <si>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</si>
  <si>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</si>
  <si>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</si>
  <si>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</si>
  <si>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</si>
  <si>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</si>
  <si>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</si>
  <si>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</si>
  <si>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</si>
  <si>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</si>
  <si>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</si>
  <si>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</si>
  <si>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</si>
  <si>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</si>
  <si>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</si>
  <si>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</si>
  <si>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</si>
  <si>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</si>
  <si>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</si>
  <si>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</si>
  <si>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</si>
  <si>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</si>
  <si>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</si>
  <si>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</si>
  <si>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</si>
  <si>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</si>
  <si>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</si>
  <si>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</si>
  <si>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</si>
  <si>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</si>
  <si>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</si>
  <si>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</si>
  <si>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</si>
  <si>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</si>
  <si>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</si>
  <si>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</si>
  <si>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</si>
  <si>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</si>
  <si>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</si>
  <si>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</si>
  <si>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</si>
  <si>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</si>
  <si>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</si>
  <si>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</si>
  <si>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</si>
  <si>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</si>
  <si>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</si>
  <si>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</si>
  <si>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</si>
  <si>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</si>
  <si>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</si>
  <si>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</si>
  <si>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</si>
  <si>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</si>
  <si>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</si>
  <si>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</si>
  <si>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</si>
  <si>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</si>
  <si>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</si>
  <si>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</si>
  <si>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</si>
  <si>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</si>
  <si>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</si>
  <si>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</si>
  <si>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</si>
  <si>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</si>
  <si>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</si>
  <si>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</si>
  <si>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</si>
  <si>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</si>
  <si>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</si>
  <si>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</si>
  <si>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</si>
  <si>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</si>
  <si>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</si>
  <si>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</si>
  <si>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</si>
  <si>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</si>
  <si>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</si>
  <si>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</si>
  <si>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</si>
  <si>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</si>
  <si>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</si>
  <si>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</si>
  <si>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</si>
  <si>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</si>
  <si>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</si>
  <si>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</si>
  <si>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</si>
  <si>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</si>
  <si>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</si>
  <si>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</si>
  <si>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</si>
  <si>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</si>
  <si>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</si>
  <si>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</si>
  <si>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</si>
  <si>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</si>
  <si>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</si>
  <si>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</si>
  <si>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</si>
  <si>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</si>
  <si>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</si>
  <si>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</si>
  <si>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</si>
  <si>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</si>
  <si>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</si>
  <si>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</si>
  <si>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</si>
  <si>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</si>
  <si>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</si>
  <si>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</si>
  <si>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</si>
  <si>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</si>
  <si>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</si>
  <si>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</si>
  <si>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</si>
  <si>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</si>
  <si>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</si>
  <si>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</si>
  <si>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</si>
  <si>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</si>
  <si>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</si>
  <si>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</si>
  <si>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</si>
  <si>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</si>
  <si>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</si>
  <si>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</si>
  <si>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</si>
  <si>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</si>
  <si>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</si>
  <si>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</si>
  <si>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</si>
  <si>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</si>
  <si>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</si>
  <si>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</si>
  <si>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</si>
  <si>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</si>
  <si>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</si>
  <si>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</si>
  <si>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</si>
  <si>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</si>
  <si>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</si>
  <si>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</si>
  <si>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</si>
  <si>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</si>
  <si>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</si>
  <si>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</si>
  <si>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</si>
  <si>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</si>
  <si>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</si>
  <si>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</si>
  <si>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</si>
  <si>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</si>
  <si>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</si>
  <si>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</si>
  <si>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</si>
  <si>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</si>
  <si>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</si>
  <si>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</si>
  <si>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</si>
  <si>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</si>
  <si>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</si>
  <si>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</si>
  <si>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</si>
  <si>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</si>
  <si>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</si>
  <si>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</si>
  <si>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</si>
  <si>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</si>
  <si>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</si>
  <si>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</si>
  <si>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</si>
  <si>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</si>
  <si>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</si>
  <si>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</si>
  <si>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</si>
  <si>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</si>
  <si>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</si>
  <si>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</si>
  <si>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</si>
  <si>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</si>
  <si>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</si>
  <si>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</si>
  <si>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</si>
  <si>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</si>
  <si>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</si>
  <si>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</si>
  <si>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</si>
  <si>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</si>
  <si>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</si>
  <si>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</si>
  <si>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</si>
  <si>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</si>
  <si>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</si>
  <si>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</si>
  <si>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</si>
  <si>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</si>
  <si>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</si>
  <si>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</si>
  <si>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</si>
  <si>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</si>
  <si>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</si>
  <si>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</si>
  <si>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</si>
  <si>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</si>
  <si>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</si>
  <si>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</si>
  <si>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</si>
  <si>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</si>
  <si>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</si>
  <si>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</si>
  <si>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</si>
  <si>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</si>
  <si>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</si>
  <si>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</si>
  <si>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</si>
  <si>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</si>
  <si>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</si>
  <si>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</si>
  <si>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</si>
  <si>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</si>
  <si>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</si>
  <si>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</si>
  <si>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</si>
  <si>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</si>
  <si>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</si>
  <si>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</si>
  <si>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</si>
  <si>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</si>
  <si>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</si>
  <si>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</si>
  <si>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</si>
  <si>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</si>
  <si>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</si>
  <si>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</si>
  <si>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</si>
  <si>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</si>
  <si>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</si>
  <si>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</si>
  <si>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</si>
  <si>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</si>
  <si>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</si>
  <si>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</si>
  <si>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</si>
  <si>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</si>
  <si>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</si>
  <si>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</si>
  <si>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</si>
  <si>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</si>
  <si>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</si>
  <si>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</si>
  <si>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</si>
  <si>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</si>
  <si>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</si>
  <si>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</si>
  <si>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</si>
  <si>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</si>
  <si>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</si>
  <si>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</si>
  <si>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</si>
  <si>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</si>
  <si>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</si>
  <si>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</si>
  <si>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</si>
  <si>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</si>
  <si>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</si>
  <si>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</si>
  <si>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</si>
  <si>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</si>
  <si>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</si>
  <si>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</si>
  <si>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</si>
  <si>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</si>
  <si>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</si>
  <si>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</si>
  <si>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</si>
  <si>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</si>
  <si>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</si>
  <si>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</si>
  <si>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</si>
  <si>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</si>
  <si>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</si>
  <si>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</si>
  <si>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</si>
  <si>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</si>
  <si>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</si>
  <si>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</si>
  <si>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</si>
  <si>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</si>
  <si>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</si>
  <si>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</si>
  <si>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</si>
  <si>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</si>
  <si>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</si>
  <si>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</si>
  <si>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</si>
  <si>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</si>
  <si>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</si>
  <si>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</si>
  <si>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</si>
  <si>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</si>
  <si>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</si>
  <si>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</si>
  <si>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</si>
  <si>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</si>
  <si>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</si>
  <si>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</si>
  <si>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</si>
  <si>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</si>
  <si>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</si>
  <si>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</si>
  <si>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</si>
  <si>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</si>
  <si>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</si>
  <si>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</si>
  <si>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</si>
  <si>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</si>
  <si>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</si>
  <si>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</si>
  <si>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</si>
  <si>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</si>
  <si>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</si>
  <si>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</si>
  <si>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</si>
  <si>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</si>
  <si>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</si>
  <si>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</si>
  <si>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</si>
  <si>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</si>
  <si>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</si>
  <si>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</si>
  <si>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</si>
  <si>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</si>
  <si>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</si>
  <si>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</si>
  <si>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</si>
  <si>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</si>
  <si>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</si>
  <si>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</si>
  <si>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</si>
  <si>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</si>
  <si>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</si>
  <si>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</si>
  <si>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</si>
  <si>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</si>
  <si>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</si>
  <si>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</si>
  <si>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</si>
  <si>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</si>
  <si>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</si>
  <si>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</si>
  <si>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</si>
  <si>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</si>
  <si>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</si>
  <si>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</si>
  <si>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</si>
  <si>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</si>
  <si>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</si>
  <si>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</si>
  <si>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</si>
  <si>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</si>
  <si>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</si>
  <si>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</si>
  <si>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</si>
  <si>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</si>
  <si>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</si>
  <si>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</si>
  <si>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</si>
  <si>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</si>
  <si>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</si>
  <si>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</si>
  <si>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</si>
  <si>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</si>
  <si>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</si>
  <si>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</si>
  <si>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</si>
  <si>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</si>
  <si>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</si>
  <si>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</si>
  <si>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</si>
  <si>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</si>
  <si>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</si>
  <si>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</si>
  <si>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</si>
  <si>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</si>
  <si>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</si>
  <si>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</si>
  <si>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</si>
  <si>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</si>
  <si>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</si>
  <si>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</si>
  <si>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</si>
  <si>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</si>
  <si>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</si>
  <si>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</si>
  <si>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</si>
  <si>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</si>
  <si>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</si>
  <si>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</si>
  <si>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</si>
  <si>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</si>
  <si>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</si>
  <si>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</si>
  <si>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</si>
  <si>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</si>
  <si>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</si>
  <si>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</si>
  <si>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</si>
  <si>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</si>
  <si>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</si>
  <si>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</si>
  <si>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</si>
  <si>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</si>
  <si>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</si>
  <si>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</si>
  <si>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</si>
  <si>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</si>
  <si>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</si>
  <si>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</si>
  <si>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</si>
  <si>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</si>
  <si>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</si>
  <si>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</si>
  <si>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</si>
  <si>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</si>
  <si>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</si>
  <si>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</si>
  <si>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</si>
  <si>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</si>
  <si>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</si>
  <si>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</si>
  <si>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</si>
  <si>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</si>
  <si>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</si>
  <si>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</si>
  <si>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</si>
  <si>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</si>
  <si>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</si>
  <si>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</si>
  <si>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</si>
  <si>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</si>
  <si>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</si>
  <si>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</si>
  <si>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</si>
  <si>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</si>
  <si>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</si>
  <si>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</si>
  <si>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</si>
  <si>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</si>
  <si>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</si>
  <si>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</si>
  <si>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</si>
  <si>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</si>
  <si>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</si>
  <si>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</si>
  <si>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</si>
  <si>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</si>
  <si>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</si>
  <si>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</si>
  <si>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</si>
  <si>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</si>
  <si>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</si>
  <si>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</si>
  <si>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</si>
  <si>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</si>
  <si>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</si>
  <si>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</si>
  <si>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</si>
  <si>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</si>
  <si>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</si>
  <si>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</si>
  <si>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</si>
  <si>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</si>
  <si>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</si>
  <si>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</si>
  <si>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</si>
  <si>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</si>
  <si>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</si>
  <si>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</si>
  <si>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</si>
  <si>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</si>
  <si>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</si>
  <si>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</si>
  <si>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</si>
  <si>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</si>
  <si>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</si>
  <si>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</si>
  <si>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</si>
  <si>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</si>
  <si>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</si>
  <si>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</si>
  <si>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</si>
  <si>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</si>
  <si>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</si>
  <si>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</si>
  <si>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</si>
  <si>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</si>
  <si>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</si>
  <si>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</si>
  <si>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</si>
  <si>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</si>
  <si>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</si>
  <si>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</si>
  <si>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</si>
  <si>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</si>
  <si>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</si>
  <si>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</si>
  <si>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</si>
  <si>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</si>
  <si>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</si>
  <si>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</si>
  <si>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</si>
  <si>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</si>
  <si>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</si>
  <si>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</si>
  <si>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</si>
  <si>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</si>
  <si>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</si>
  <si>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</si>
  <si>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</si>
  <si>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</si>
  <si>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</si>
  <si>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</si>
  <si>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</si>
  <si>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</si>
  <si>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</si>
  <si>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</si>
  <si>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</si>
  <si>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</si>
  <si>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</si>
  <si>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</si>
  <si>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</si>
  <si>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</si>
  <si>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</si>
  <si>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</si>
  <si>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</si>
  <si>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</si>
  <si>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</si>
  <si>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</si>
  <si>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</si>
  <si>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</si>
  <si>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</si>
  <si>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</si>
  <si>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</si>
  <si>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</si>
  <si>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</si>
  <si>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</si>
  <si>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</si>
  <si>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</si>
  <si>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</si>
  <si>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</si>
  <si>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</si>
  <si>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</si>
  <si>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</si>
  <si>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</si>
  <si>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</si>
  <si>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</si>
  <si>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</si>
  <si>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</si>
  <si>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</si>
  <si>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</si>
  <si>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</si>
  <si>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</si>
  <si>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</si>
  <si>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</si>
  <si>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</si>
  <si>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</si>
  <si>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</si>
  <si>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</si>
  <si>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</si>
  <si>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</si>
  <si>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</si>
  <si>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</si>
  <si>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</si>
  <si>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</si>
  <si>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</si>
  <si>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</si>
  <si>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</si>
  <si>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</si>
  <si>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</si>
  <si>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</si>
  <si>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</si>
  <si>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</si>
  <si>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</si>
  <si>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</si>
  <si>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</si>
  <si>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</si>
  <si>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</si>
  <si>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</si>
  <si>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</si>
  <si>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</si>
  <si>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</si>
  <si>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</si>
  <si>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</si>
  <si>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</si>
  <si>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</si>
  <si>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</si>
  <si>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</si>
  <si>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</si>
  <si>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</si>
  <si>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</si>
  <si>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</si>
  <si>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</si>
  <si>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</si>
  <si>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</si>
  <si>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</si>
  <si>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</si>
  <si>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</si>
  <si>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</si>
  <si>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</si>
  <si>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</si>
  <si>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</si>
  <si>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</si>
  <si>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</si>
  <si>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</si>
  <si>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</si>
  <si>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</si>
  <si>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</si>
  <si>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</si>
  <si>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</si>
  <si>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</si>
  <si>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</si>
  <si>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</si>
  <si>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</si>
  <si>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</si>
  <si>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</si>
  <si>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</si>
  <si>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</si>
  <si>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</si>
  <si>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</si>
  <si>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</si>
  <si>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</si>
  <si>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</si>
  <si>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</si>
  <si>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</si>
  <si>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</si>
  <si>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</si>
  <si>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</si>
  <si>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</si>
  <si>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</si>
  <si>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</si>
  <si>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</si>
  <si>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</si>
  <si>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</si>
  <si>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</si>
  <si>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</si>
  <si>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</si>
  <si>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</si>
  <si>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</si>
  <si>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</si>
  <si>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</si>
  <si>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</si>
  <si>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</si>
  <si>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</si>
  <si>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</si>
  <si>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</si>
  <si>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</si>
  <si>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</si>
  <si>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</si>
  <si>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</si>
  <si>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</si>
  <si>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</si>
  <si>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</si>
  <si>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</si>
  <si>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</si>
  <si>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</si>
  <si>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</si>
  <si>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</si>
  <si>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</si>
  <si>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</si>
  <si>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</si>
  <si>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</si>
  <si>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</si>
  <si>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</si>
  <si>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</si>
  <si>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</si>
  <si>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</si>
  <si>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</si>
  <si>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</si>
  <si>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</si>
  <si>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</si>
  <si>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</si>
  <si>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</si>
  <si>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</si>
  <si>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</si>
  <si>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</si>
  <si>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</si>
  <si>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</si>
  <si>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</si>
  <si>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</si>
  <si>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</si>
  <si>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</si>
  <si>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</si>
  <si>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</si>
  <si>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</si>
  <si>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</si>
  <si>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</si>
  <si>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</si>
  <si>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</si>
  <si>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</si>
  <si>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</si>
  <si>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</si>
  <si>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</si>
  <si>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</si>
  <si>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</si>
  <si>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</si>
  <si>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</si>
  <si>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</si>
  <si>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</si>
  <si>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</si>
  <si>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</si>
  <si>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</si>
  <si>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</si>
  <si>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</si>
  <si>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</si>
  <si>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</si>
  <si>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</si>
  <si>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</si>
  <si>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</si>
  <si>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</si>
  <si>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</si>
  <si>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</si>
  <si>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</si>
  <si>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</si>
  <si>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</si>
  <si>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</si>
  <si>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</si>
  <si>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</si>
  <si>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</si>
  <si>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</si>
  <si>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</si>
  <si>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</si>
  <si>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</si>
  <si>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</si>
  <si>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</si>
  <si>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</si>
  <si>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</si>
  <si>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</si>
  <si>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</si>
  <si>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</si>
  <si>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</si>
  <si>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</si>
  <si>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</si>
  <si>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</si>
  <si>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</si>
  <si>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</si>
  <si>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</si>
  <si>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</si>
  <si>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</si>
  <si>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</si>
  <si>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</si>
  <si>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</si>
  <si>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</si>
  <si>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</si>
  <si>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</si>
  <si>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</si>
  <si>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</si>
  <si>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</si>
  <si>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</si>
  <si>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</si>
  <si>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</si>
  <si>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</si>
  <si>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</si>
  <si>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</si>
  <si>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</si>
  <si>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</si>
  <si>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</si>
  <si>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</si>
  <si>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</si>
  <si>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</si>
  <si>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</si>
  <si>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</si>
  <si>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</si>
  <si>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</si>
  <si>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</si>
  <si>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</si>
  <si>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</si>
  <si>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</si>
  <si>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</si>
  <si>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</si>
  <si>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</si>
  <si>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</si>
  <si>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</si>
  <si>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</si>
  <si>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</si>
  <si>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</si>
  <si>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</si>
  <si>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</si>
  <si>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</si>
  <si>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</si>
  <si>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</si>
  <si>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</si>
  <si>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</si>
  <si>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</si>
  <si>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</si>
  <si>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</si>
  <si>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</si>
  <si>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</si>
  <si>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</si>
  <si>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</si>
  <si>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</si>
  <si>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</si>
  <si>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</si>
  <si>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</si>
  <si>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</si>
  <si>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</si>
  <si>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</si>
  <si>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</si>
  <si>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</si>
  <si>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</si>
  <si>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</si>
  <si>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</si>
  <si>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</si>
  <si>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</si>
  <si>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</si>
  <si>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</si>
  <si>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</si>
  <si>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</si>
  <si>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</si>
  <si>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</si>
  <si>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</si>
  <si>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</si>
  <si>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</si>
  <si>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</si>
  <si>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</si>
  <si>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</si>
  <si>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</si>
  <si>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</si>
  <si>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</si>
  <si>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</si>
  <si>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</si>
  <si>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EXTREMADURA</t>
  </si>
  <si>
    <t>Provincias</t>
  </si>
  <si>
    <t>BADAJOZ</t>
  </si>
  <si>
    <t>Resumenes por Partidos Judiciales</t>
  </si>
  <si>
    <t>ALMENDRALEJO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</si>
</sst>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gGMbRn99KdojhiGl94LTfgitjAvmoiuWPDBZ5D6+XpBT00xTDqJJ9tUZV//r92UBBqymXVGX4RAlDjhUDGZrA==" saltValue="EJ4mShuLZxwyYzCy1sz/T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43</v>
      </c>
      <c r="D10" s="225">
        <f>IF(ISNUMBER(Datos!I10),Datos!I10," - ")</f>
        <v>43</v>
      </c>
      <c r="E10" s="226">
        <f>IF(ISNUMBER(Datos!J10),Datos!J10," - ")</f>
        <v>15</v>
      </c>
      <c r="F10" s="226">
        <f>IF(ISNUMBER(Datos!K10),Datos!K10," - ")</f>
        <v>14</v>
      </c>
      <c r="G10" s="1034" t="str">
        <f>IF(Datos!E10&lt;&gt;"",Datos!E10,Datos!D10)</f>
        <v>37</v>
      </c>
      <c r="H10" s="227">
        <f>IF(ISNUMBER(Datos!L10),Datos!L10," - ")</f>
        <v>44</v>
      </c>
      <c r="I10" s="1044" t="str">
        <f>IF(ISNUMBER(Datos!AS10/Datos!BM10),Datos!AS10/Datos!BM10," - ")</f>
        <v xml:space="preserve"> - </v>
      </c>
      <c r="J10" s="1045">
        <f>IF(ISNUMBER(Datos!BY10/Datos!CN10),Datos!BY10/Datos!CN10," - ")</f>
        <v>0</v>
      </c>
      <c r="K10" s="230">
        <f t="shared" ref="K10:K12" si="1">IF(ISNUMBER((E10-F10)/C10),(E10-F10)/C10," - ")</f>
        <v>2.3255813953488372E-2</v>
      </c>
      <c r="L10" s="1025">
        <f>IF(ISNUMBER(NºAsuntos!I10/NºAsuntos!G10),(NºAsuntos!I10/NºAsuntos!G10)*11," - ")</f>
        <v>34.571428571428569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51.537428023032632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43</v>
      </c>
      <c r="D13" s="1049">
        <f>SUBTOTAL(9,D9:D12)</f>
        <v>43</v>
      </c>
      <c r="E13" s="1050">
        <f>SUBTOTAL(9,E9:E12)</f>
        <v>15</v>
      </c>
      <c r="F13" s="1051">
        <f>SUBTOTAL(9,F9:F12)</f>
        <v>14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1507</v>
      </c>
      <c r="D16" s="225">
        <f>IF(ISNUMBER(IF(D_I="SI",Datos!I16,Datos!I16+Datos!AC16)),IF(D_I="SI",Datos!I16,Datos!I16+Datos!AC16)," - ")</f>
        <v>1507</v>
      </c>
      <c r="E16" s="226">
        <f>IF(ISNUMBER(IF(D_I="SI",Datos!J16,Datos!J16+Datos!AD16)),IF(D_I="SI",Datos!J16,Datos!J16+Datos!AD16)," - ")</f>
        <v>568</v>
      </c>
      <c r="F16" s="226">
        <f>IF(ISNUMBER(IF(D_I="SI",Datos!K16,Datos!K16+Datos!AE16)),IF(D_I="SI",Datos!K16,Datos!K16+Datos!AE16)," - ")</f>
        <v>620</v>
      </c>
      <c r="G16" s="1034" t="str">
        <f>IF(Datos!E16&lt;&gt;"",Datos!E16,Datos!D16)</f>
        <v>04</v>
      </c>
      <c r="H16" s="227">
        <f>IF(ISNUMBER(IF(D_I="SI",Datos!L16,Datos!L16+Datos!AF16)),IF(D_I="SI",Datos!L16,Datos!L16+Datos!AF16)," - ")</f>
        <v>1455</v>
      </c>
      <c r="I16" s="1044" t="str">
        <f>IF(ISNUMBER(Datos!AS16/Datos!BM16),Datos!AS16/Datos!BM16," - ")</f>
        <v xml:space="preserve"> - </v>
      </c>
      <c r="J16" s="1045">
        <f>IF(ISNUMBER(Datos!BY16/Datos!CN16),Datos!BY16/Datos!CN16," - ")</f>
        <v>0</v>
      </c>
      <c r="K16" s="230">
        <f t="shared" si="3"/>
        <v>-3.4505640345056404E-2</v>
      </c>
      <c r="L16" s="1025">
        <f>IF(ISNUMBER(NºAsuntos!I16/NºAsuntos!G16),(NºAsuntos!I16/NºAsuntos!G16)*11," - ")</f>
        <v>25.814516129032256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163</v>
      </c>
      <c r="D17" s="225">
        <f>IF(ISNUMBER(IF(D_I="SI",Datos!I17,Datos!I17+Datos!AC17)),IF(D_I="SI",Datos!I17,Datos!I17+Datos!AC17)," - ")</f>
        <v>163</v>
      </c>
      <c r="E17" s="226">
        <f>IF(ISNUMBER(IF(D_I="SI",Datos!J17,Datos!J17+Datos!AD17)),IF(D_I="SI",Datos!J17,Datos!J17+Datos!AD17)," - ")</f>
        <v>59</v>
      </c>
      <c r="F17" s="226">
        <f>IF(ISNUMBER(IF(D_I="SI",Datos!K17,Datos!K17+Datos!AE17)),IF(D_I="SI",Datos!K17,Datos!K17+Datos!AE17)," - ")</f>
        <v>39</v>
      </c>
      <c r="G17" s="1034" t="str">
        <f>IF(Datos!E17&lt;&gt;"",Datos!E17,Datos!D17)</f>
        <v>37</v>
      </c>
      <c r="H17" s="227">
        <f>IF(ISNUMBER(IF(D_I="SI",Datos!L17,Datos!L17+Datos!AF17)),IF(D_I="SI",Datos!L17,Datos!L17+Datos!AF17)," - ")</f>
        <v>183</v>
      </c>
      <c r="I17" s="1044" t="str">
        <f>IF(ISNUMBER(Datos!AS17/Datos!BM17),Datos!AS17/Datos!BM17," - ")</f>
        <v xml:space="preserve"> - </v>
      </c>
      <c r="J17" s="1045" t="str">
        <f>IF(ISNUMBER((Datos!BY17+Datos!BZ17)/Datos!CN17),(Datos!BY17+Datos!BZ17)/Datos!CN17," - ")</f>
        <v xml:space="preserve"> - </v>
      </c>
      <c r="K17" s="230">
        <f t="shared" si="3"/>
        <v>0.12269938650306748</v>
      </c>
      <c r="L17" s="1025">
        <f>IF(ISNUMBER(NºAsuntos!I17/NºAsuntos!G17),(NºAsuntos!I17/NºAsuntos!G17)*11," - ")</f>
        <v>51.61538461538462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1670</v>
      </c>
      <c r="D18" s="1049">
        <f>SUBTOTAL(9,D15:D17)</f>
        <v>1670</v>
      </c>
      <c r="E18" s="1050">
        <f>SUBTOTAL(9,E15:E17)</f>
        <v>627</v>
      </c>
      <c r="F18" s="1050">
        <f>SUBTOTAL(9,F15:F17)</f>
        <v>659</v>
      </c>
      <c r="G18" s="1052" t="str">
        <f ca="1">INDIRECT(CONCATENATE("G",ROW()-1))</f>
        <v>37</v>
      </c>
      <c r="H18" s="1053">
        <f ca="1">SUMIF(G$14:G17,G18,H$14:H17)</f>
        <v>183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1713</v>
      </c>
      <c r="D19" s="1071">
        <f>SUBTOTAL(9,D9:D18)</f>
        <v>1713</v>
      </c>
      <c r="E19" s="1072">
        <f>SUBTOTAL(9,E9:E18)</f>
        <v>642</v>
      </c>
      <c r="F19" s="1072">
        <f>SUBTOTAL(9,F9:F18)</f>
        <v>673</v>
      </c>
      <c r="G19" s="1073"/>
      <c r="H19" s="1074">
        <f ca="1">SUMIF(B9:B18,"TOTAL",H9:H18)</f>
        <v>183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cXcw39TaQAUPwwgWFn1RCyilj7GKc2rC7Uqh0K0BmhW5+HCydC1u+9UjUUKt86P3uG11CP6sOxapus4F1qpWw==" saltValue="nWM7Lg4MBGMphMj+rTyqr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doIP4E655SjCSwRYMunbeFIk0IJqDhr5Up2nUEPaopMBAbdCfkIrWNkk6O4u2WIxVZ3u/jwVc5+JJeTM3T9+Q==" saltValue="ky67MCJsMP3rM/UCADFkY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43</v>
      </c>
      <c r="J10" s="181">
        <v>15</v>
      </c>
      <c r="K10" s="181">
        <v>14</v>
      </c>
      <c r="L10" s="181">
        <v>44</v>
      </c>
      <c r="M10" s="181">
        <v>0</v>
      </c>
      <c r="N10" s="181">
        <v>4</v>
      </c>
      <c r="O10" s="181">
        <v>0</v>
      </c>
      <c r="P10" s="181">
        <v>3</v>
      </c>
      <c r="Q10" s="181">
        <v>0</v>
      </c>
      <c r="R10" s="181">
        <v>10</v>
      </c>
      <c r="S10" s="181">
        <v>29</v>
      </c>
      <c r="T10" s="181">
        <v>10</v>
      </c>
      <c r="U10" s="181">
        <v>6</v>
      </c>
      <c r="V10" s="181">
        <v>33</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29</v>
      </c>
      <c r="AZ10" s="129">
        <f t="shared" si="0"/>
        <v>10</v>
      </c>
      <c r="BA10" s="129">
        <f t="shared" si="0"/>
        <v>6</v>
      </c>
      <c r="BB10" s="129">
        <f t="shared" si="0"/>
        <v>33</v>
      </c>
      <c r="BC10" s="125">
        <f t="shared" si="0"/>
        <v>2</v>
      </c>
      <c r="BD10" s="126">
        <f>IF(ISNUMBER(BA10/AZ10),BA10/AZ10," - ")</f>
        <v>0.6</v>
      </c>
      <c r="BE10" s="127">
        <f>IF(ISNUMBER(BB10/BA10),BB10/BA10, " - ")</f>
        <v>5.5</v>
      </c>
      <c r="BF10" s="127">
        <f>IF(ISNUMBER(BC10/BA10),BC10/BA10, " - ")</f>
        <v>0.33333333333333331</v>
      </c>
      <c r="BG10" s="196">
        <f>IF(ISNUMBER((AY10+AZ10)/BA10),(AY10+AZ10)/BA10," - ")</f>
        <v>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2327</v>
      </c>
      <c r="J12" s="183">
        <v>562</v>
      </c>
      <c r="K12" s="183">
        <v>501</v>
      </c>
      <c r="L12" s="183">
        <v>2388</v>
      </c>
      <c r="M12" s="183">
        <v>184</v>
      </c>
      <c r="N12" s="183">
        <v>134</v>
      </c>
      <c r="O12" s="181">
        <v>223</v>
      </c>
      <c r="P12" s="183">
        <v>136</v>
      </c>
      <c r="Q12" s="183">
        <v>406</v>
      </c>
      <c r="R12" s="183">
        <v>2841</v>
      </c>
      <c r="S12" s="183">
        <v>1784</v>
      </c>
      <c r="T12" s="183">
        <v>645</v>
      </c>
      <c r="U12" s="183">
        <v>538</v>
      </c>
      <c r="V12" s="183">
        <v>1864</v>
      </c>
      <c r="W12" s="183">
        <v>129</v>
      </c>
      <c r="X12" s="189">
        <v>192</v>
      </c>
      <c r="Y12" s="191">
        <v>53</v>
      </c>
      <c r="Z12" s="181">
        <v>20</v>
      </c>
      <c r="AA12" s="181">
        <v>20</v>
      </c>
      <c r="AB12" s="181">
        <v>53</v>
      </c>
      <c r="AC12" s="183">
        <v>0</v>
      </c>
      <c r="AD12" s="183">
        <v>0</v>
      </c>
      <c r="AE12" s="183">
        <v>0</v>
      </c>
      <c r="AF12" s="189">
        <v>0</v>
      </c>
      <c r="AG12" s="202">
        <v>75</v>
      </c>
      <c r="AH12" s="183">
        <v>24</v>
      </c>
      <c r="AI12" s="183">
        <v>27</v>
      </c>
      <c r="AJ12" s="203">
        <v>60</v>
      </c>
      <c r="AK12" s="182">
        <v>0</v>
      </c>
      <c r="AL12" s="183">
        <v>0</v>
      </c>
      <c r="AM12" s="183">
        <v>0</v>
      </c>
      <c r="AN12" s="189">
        <v>0</v>
      </c>
      <c r="AO12" s="259">
        <v>3</v>
      </c>
      <c r="AP12" s="155">
        <v>3</v>
      </c>
      <c r="AQ12" s="155">
        <v>3</v>
      </c>
      <c r="AR12" s="154">
        <v>3</v>
      </c>
      <c r="AS12" s="340" t="s">
        <v>802</v>
      </c>
      <c r="AT12" s="203"/>
      <c r="AU12" s="202"/>
      <c r="AV12" s="203"/>
      <c r="AW12" s="202"/>
      <c r="AX12" s="203"/>
      <c r="AY12" s="126">
        <f t="shared" si="1"/>
        <v>1859</v>
      </c>
      <c r="AZ12" s="127">
        <f t="shared" si="1"/>
        <v>669</v>
      </c>
      <c r="BA12" s="127">
        <f t="shared" si="1"/>
        <v>565</v>
      </c>
      <c r="BB12" s="127">
        <f t="shared" si="1"/>
        <v>1924</v>
      </c>
      <c r="BC12" s="125">
        <f>IF(ISNUMBER(X12),X12," - ")</f>
        <v>192</v>
      </c>
      <c r="BD12" s="126">
        <f t="shared" si="2"/>
        <v>0.84454409566517186</v>
      </c>
      <c r="BE12" s="127">
        <f t="shared" si="3"/>
        <v>3.4053097345132741</v>
      </c>
      <c r="BF12" s="127">
        <f t="shared" si="4"/>
        <v>0.33982300884955752</v>
      </c>
      <c r="BG12" s="196">
        <f t="shared" si="5"/>
        <v>4.4743362831858411</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2370</v>
      </c>
      <c r="J13" s="184">
        <f t="shared" si="6"/>
        <v>577</v>
      </c>
      <c r="K13" s="184">
        <f t="shared" si="6"/>
        <v>515</v>
      </c>
      <c r="L13" s="184">
        <f t="shared" si="6"/>
        <v>2432</v>
      </c>
      <c r="M13" s="184">
        <f t="shared" si="6"/>
        <v>184</v>
      </c>
      <c r="N13" s="184">
        <f t="shared" si="6"/>
        <v>138</v>
      </c>
      <c r="O13" s="184">
        <f t="shared" si="6"/>
        <v>223</v>
      </c>
      <c r="P13" s="184">
        <f t="shared" si="6"/>
        <v>139</v>
      </c>
      <c r="Q13" s="184">
        <f t="shared" si="6"/>
        <v>406</v>
      </c>
      <c r="R13" s="184">
        <f t="shared" si="6"/>
        <v>2851</v>
      </c>
      <c r="S13" s="184">
        <f t="shared" si="6"/>
        <v>1813</v>
      </c>
      <c r="T13" s="184">
        <f t="shared" si="6"/>
        <v>655</v>
      </c>
      <c r="U13" s="184">
        <f t="shared" si="6"/>
        <v>544</v>
      </c>
      <c r="V13" s="184">
        <f t="shared" si="6"/>
        <v>1897</v>
      </c>
      <c r="W13" s="184">
        <f t="shared" si="6"/>
        <v>131</v>
      </c>
      <c r="X13" s="184">
        <f t="shared" si="6"/>
        <v>192</v>
      </c>
      <c r="Y13" s="184">
        <f t="shared" si="6"/>
        <v>53</v>
      </c>
      <c r="Z13" s="184">
        <f t="shared" si="6"/>
        <v>20</v>
      </c>
      <c r="AA13" s="184">
        <f t="shared" si="6"/>
        <v>20</v>
      </c>
      <c r="AB13" s="184">
        <f t="shared" si="6"/>
        <v>53</v>
      </c>
      <c r="AC13" s="184">
        <f t="shared" si="6"/>
        <v>0</v>
      </c>
      <c r="AD13" s="184">
        <f t="shared" si="6"/>
        <v>0</v>
      </c>
      <c r="AE13" s="184">
        <f t="shared" si="6"/>
        <v>0</v>
      </c>
      <c r="AF13" s="184">
        <f>SUBTOTAL(9,AF9:AF12)</f>
        <v>0</v>
      </c>
      <c r="AG13" s="184">
        <f t="shared" ref="AG13:AT13" si="7">SUBTOTAL(9,AG8:AG12)</f>
        <v>75</v>
      </c>
      <c r="AH13" s="184">
        <f t="shared" si="7"/>
        <v>24</v>
      </c>
      <c r="AI13" s="184">
        <f t="shared" si="7"/>
        <v>27</v>
      </c>
      <c r="AJ13" s="184">
        <f t="shared" si="7"/>
        <v>60</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1888</v>
      </c>
      <c r="AZ13" s="184">
        <f>SUBTOTAL(9,AZ8:AZ12)</f>
        <v>679</v>
      </c>
      <c r="BA13" s="184">
        <f>SUBTOTAL(9,BA8:BA12)</f>
        <v>571</v>
      </c>
      <c r="BB13" s="184">
        <f>SUBTOTAL(9,BB8:BB12)</f>
        <v>1957</v>
      </c>
      <c r="BC13" s="184">
        <f>SUBTOTAL(9,BC8:BC12)</f>
        <v>194</v>
      </c>
      <c r="BD13" s="205">
        <f>IF(ISNUMBER(BA13/AZ13),BA13/AZ13," - ")</f>
        <v>0.84094256259204714</v>
      </c>
      <c r="BE13" s="206">
        <f>IF(ISNUMBER(BB13/BA13),BB13/BA13, " - ")</f>
        <v>3.4273204903677756</v>
      </c>
      <c r="BF13" s="206">
        <f>IF(ISNUMBER(BC13/BA13),BC13/BA13, " - ")</f>
        <v>0.33975481611208408</v>
      </c>
      <c r="BG13" s="207">
        <f>IF(ISNUMBER((AY13+AZ13)/BA13),(AY13+AZ13)/BA13," - ")</f>
        <v>4.4956217162872152</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1507</v>
      </c>
      <c r="J16" s="183">
        <v>568</v>
      </c>
      <c r="K16" s="183">
        <v>620</v>
      </c>
      <c r="L16" s="183">
        <v>1455</v>
      </c>
      <c r="M16" s="183">
        <v>53</v>
      </c>
      <c r="N16" s="183">
        <v>394</v>
      </c>
      <c r="O16" s="181">
        <v>1</v>
      </c>
      <c r="P16" s="183">
        <v>12</v>
      </c>
      <c r="Q16" s="183">
        <v>1</v>
      </c>
      <c r="R16" s="183">
        <v>123</v>
      </c>
      <c r="S16" s="183">
        <v>1105</v>
      </c>
      <c r="T16" s="183">
        <v>440</v>
      </c>
      <c r="U16" s="183">
        <v>430</v>
      </c>
      <c r="V16" s="183">
        <v>1127</v>
      </c>
      <c r="W16" s="183">
        <v>79</v>
      </c>
      <c r="X16" s="189">
        <v>216</v>
      </c>
      <c r="Y16" s="202">
        <v>0</v>
      </c>
      <c r="Z16" s="183">
        <v>0</v>
      </c>
      <c r="AA16" s="183">
        <v>0</v>
      </c>
      <c r="AB16" s="183">
        <v>0</v>
      </c>
      <c r="AC16" s="183">
        <v>1</v>
      </c>
      <c r="AD16" s="183">
        <v>0</v>
      </c>
      <c r="AE16" s="183">
        <v>0</v>
      </c>
      <c r="AF16" s="189">
        <v>1</v>
      </c>
      <c r="AG16" s="202">
        <v>0</v>
      </c>
      <c r="AH16" s="183">
        <v>0</v>
      </c>
      <c r="AI16" s="183">
        <v>0</v>
      </c>
      <c r="AJ16" s="203">
        <v>0</v>
      </c>
      <c r="AK16" s="182">
        <v>0</v>
      </c>
      <c r="AL16" s="183">
        <v>1</v>
      </c>
      <c r="AM16" s="183">
        <v>0</v>
      </c>
      <c r="AN16" s="189">
        <v>1</v>
      </c>
      <c r="AO16" s="259">
        <v>3</v>
      </c>
      <c r="AP16" s="155">
        <v>3</v>
      </c>
      <c r="AQ16" s="155">
        <v>3</v>
      </c>
      <c r="AR16" s="155">
        <v>3</v>
      </c>
      <c r="AS16" s="340" t="s">
        <v>487</v>
      </c>
      <c r="AT16" s="203"/>
      <c r="AU16" s="202"/>
      <c r="AV16" s="203"/>
      <c r="AW16" s="202"/>
      <c r="AX16" s="203"/>
      <c r="AY16" s="126">
        <f t="shared" si="9"/>
        <v>1105</v>
      </c>
      <c r="AZ16" s="127">
        <f t="shared" si="9"/>
        <v>440</v>
      </c>
      <c r="BA16" s="127">
        <f t="shared" si="9"/>
        <v>430</v>
      </c>
      <c r="BB16" s="127">
        <f t="shared" si="9"/>
        <v>1127</v>
      </c>
      <c r="BC16" s="125">
        <f>IF(ISNUMBER(W16),W16," - ")</f>
        <v>79</v>
      </c>
      <c r="BD16" s="126">
        <f t="shared" ref="BD16" si="11">IF(ISNUMBER(BA16/AZ16),BA16/AZ16," - ")</f>
        <v>0.97727272727272729</v>
      </c>
      <c r="BE16" s="127">
        <f t="shared" ref="BE16" si="12">IF(ISNUMBER(BB16/BA16),BB16/BA16, " - ")</f>
        <v>2.6209302325581394</v>
      </c>
      <c r="BF16" s="127">
        <f t="shared" ref="BF16" si="13">IF(ISNUMBER(BC16/BA16),BC16/BA16, " - ")</f>
        <v>0.18372093023255814</v>
      </c>
      <c r="BG16" s="196">
        <f t="shared" si="10"/>
        <v>3.5930232558139537</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163</v>
      </c>
      <c r="J17" s="183">
        <v>59</v>
      </c>
      <c r="K17" s="183">
        <v>39</v>
      </c>
      <c r="L17" s="183">
        <v>183</v>
      </c>
      <c r="M17" s="183">
        <v>9</v>
      </c>
      <c r="N17" s="183">
        <v>23</v>
      </c>
      <c r="O17" s="183">
        <v>0</v>
      </c>
      <c r="P17" s="183">
        <v>2</v>
      </c>
      <c r="Q17" s="183">
        <v>1</v>
      </c>
      <c r="R17" s="183">
        <v>7</v>
      </c>
      <c r="S17" s="183">
        <v>112</v>
      </c>
      <c r="T17" s="183">
        <v>50</v>
      </c>
      <c r="U17" s="183">
        <v>37</v>
      </c>
      <c r="V17" s="183">
        <v>125</v>
      </c>
      <c r="W17" s="183">
        <v>4</v>
      </c>
      <c r="X17" s="189">
        <v>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112</v>
      </c>
      <c r="AZ17" s="129">
        <f t="shared" si="14"/>
        <v>50</v>
      </c>
      <c r="BA17" s="129">
        <f t="shared" si="14"/>
        <v>37</v>
      </c>
      <c r="BB17" s="129">
        <f t="shared" si="14"/>
        <v>125</v>
      </c>
      <c r="BC17" s="125">
        <f>IF(ISNUMBER(W17),W17," - ")</f>
        <v>4</v>
      </c>
      <c r="BD17" s="126">
        <f>IF(ISNUMBER(BA17/AZ17),BA17/AZ17," - ")</f>
        <v>0.74</v>
      </c>
      <c r="BE17" s="127">
        <f>IF(ISNUMBER(BB17/BA17),BB17/BA17, " - ")</f>
        <v>3.3783783783783785</v>
      </c>
      <c r="BF17" s="127">
        <f>IF(ISNUMBER(BC17/BA17),BC17/BA17, " - ")</f>
        <v>0.10810810810810811</v>
      </c>
      <c r="BG17" s="196">
        <f>IF(ISNUMBER((AY17+AZ17)/BA17),(AY17+AZ17)/BA17," - ")</f>
        <v>4.3783783783783781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1670</v>
      </c>
      <c r="J18" s="184">
        <f t="shared" si="15"/>
        <v>627</v>
      </c>
      <c r="K18" s="184">
        <f t="shared" si="15"/>
        <v>659</v>
      </c>
      <c r="L18" s="184">
        <f t="shared" si="15"/>
        <v>1638</v>
      </c>
      <c r="M18" s="184">
        <f t="shared" si="15"/>
        <v>62</v>
      </c>
      <c r="N18" s="184">
        <f t="shared" si="15"/>
        <v>417</v>
      </c>
      <c r="O18" s="184">
        <f t="shared" si="15"/>
        <v>1</v>
      </c>
      <c r="P18" s="184">
        <f t="shared" si="15"/>
        <v>14</v>
      </c>
      <c r="Q18" s="184">
        <f t="shared" si="15"/>
        <v>2</v>
      </c>
      <c r="R18" s="184">
        <f t="shared" si="15"/>
        <v>130</v>
      </c>
      <c r="S18" s="184">
        <f t="shared" si="15"/>
        <v>1217</v>
      </c>
      <c r="T18" s="184">
        <f t="shared" si="15"/>
        <v>490</v>
      </c>
      <c r="U18" s="184">
        <f t="shared" si="15"/>
        <v>467</v>
      </c>
      <c r="V18" s="184">
        <f t="shared" si="15"/>
        <v>1252</v>
      </c>
      <c r="W18" s="184">
        <f t="shared" si="15"/>
        <v>83</v>
      </c>
      <c r="X18" s="184">
        <f t="shared" si="15"/>
        <v>233</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0</v>
      </c>
      <c r="AL18" s="184">
        <f t="shared" si="15"/>
        <v>1</v>
      </c>
      <c r="AM18" s="184">
        <f t="shared" si="15"/>
        <v>0</v>
      </c>
      <c r="AN18" s="184">
        <f t="shared" si="15"/>
        <v>1</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1217</v>
      </c>
      <c r="AZ18" s="184">
        <f>SUBTOTAL(9,AZ14:AZ17)</f>
        <v>490</v>
      </c>
      <c r="BA18" s="184">
        <f>SUBTOTAL(9,BA14:BA17)</f>
        <v>467</v>
      </c>
      <c r="BB18" s="184">
        <f>SUBTOTAL(9,BB14:BB17)</f>
        <v>1252</v>
      </c>
      <c r="BC18" s="184">
        <f>SUBTOTAL(9,BC14:BC17)</f>
        <v>83</v>
      </c>
      <c r="BD18" s="205">
        <f>IF(ISNUMBER(BA18/AZ18),BA18/AZ18," - ")</f>
        <v>0.95306122448979591</v>
      </c>
      <c r="BE18" s="206">
        <f>IF(ISNUMBER(BB18/BA18),BB18/BA18, " - ")</f>
        <v>2.6809421841541754</v>
      </c>
      <c r="BF18" s="206">
        <f>IF(ISNUMBER(BC18/BA18),BC18/BA18, " - ")</f>
        <v>0.17773019271948609</v>
      </c>
      <c r="BG18" s="207">
        <f>IF(ISNUMBER((AY18+AZ18)/BA18),(AY18+AZ18)/BA18," - ")</f>
        <v>3.6552462526766596</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4040</v>
      </c>
      <c r="J19" s="134">
        <f t="shared" si="18"/>
        <v>1204</v>
      </c>
      <c r="K19" s="134">
        <f t="shared" si="18"/>
        <v>1174</v>
      </c>
      <c r="L19" s="134">
        <f t="shared" si="18"/>
        <v>4070</v>
      </c>
      <c r="M19" s="134">
        <f t="shared" si="18"/>
        <v>246</v>
      </c>
      <c r="N19" s="134">
        <f t="shared" si="18"/>
        <v>555</v>
      </c>
      <c r="O19" s="134">
        <f t="shared" si="18"/>
        <v>224</v>
      </c>
      <c r="P19" s="134">
        <f t="shared" si="18"/>
        <v>153</v>
      </c>
      <c r="Q19" s="134">
        <f t="shared" si="18"/>
        <v>408</v>
      </c>
      <c r="R19" s="134">
        <f t="shared" si="18"/>
        <v>2981</v>
      </c>
      <c r="S19" s="134">
        <f t="shared" si="18"/>
        <v>3030</v>
      </c>
      <c r="T19" s="134">
        <f t="shared" si="18"/>
        <v>1145</v>
      </c>
      <c r="U19" s="134">
        <f t="shared" si="18"/>
        <v>1011</v>
      </c>
      <c r="V19" s="134">
        <f t="shared" si="18"/>
        <v>3149</v>
      </c>
      <c r="W19" s="134">
        <f t="shared" si="18"/>
        <v>214</v>
      </c>
      <c r="X19" s="134">
        <f t="shared" si="18"/>
        <v>425</v>
      </c>
      <c r="Y19" s="134">
        <f t="shared" si="18"/>
        <v>53</v>
      </c>
      <c r="Z19" s="134">
        <f t="shared" si="18"/>
        <v>20</v>
      </c>
      <c r="AA19" s="134">
        <f t="shared" si="18"/>
        <v>20</v>
      </c>
      <c r="AB19" s="134">
        <f t="shared" si="18"/>
        <v>53</v>
      </c>
      <c r="AC19" s="134">
        <f t="shared" si="18"/>
        <v>1</v>
      </c>
      <c r="AD19" s="134">
        <f t="shared" si="18"/>
        <v>0</v>
      </c>
      <c r="AE19" s="134">
        <f t="shared" si="18"/>
        <v>0</v>
      </c>
      <c r="AF19" s="134">
        <f t="shared" si="18"/>
        <v>1</v>
      </c>
      <c r="AG19" s="134">
        <f t="shared" si="18"/>
        <v>75</v>
      </c>
      <c r="AH19" s="134">
        <f t="shared" si="18"/>
        <v>24</v>
      </c>
      <c r="AI19" s="134">
        <f t="shared" si="18"/>
        <v>27</v>
      </c>
      <c r="AJ19" s="134">
        <f t="shared" si="18"/>
        <v>60</v>
      </c>
      <c r="AK19" s="134">
        <f t="shared" si="18"/>
        <v>0</v>
      </c>
      <c r="AL19" s="134">
        <f t="shared" si="18"/>
        <v>1</v>
      </c>
      <c r="AM19" s="134">
        <f t="shared" si="18"/>
        <v>0</v>
      </c>
      <c r="AN19" s="210">
        <f t="shared" si="18"/>
        <v>1</v>
      </c>
      <c r="AO19" s="211">
        <v>4</v>
      </c>
      <c r="AP19" s="211">
        <v>3</v>
      </c>
      <c r="AQ19" s="211">
        <v>3</v>
      </c>
      <c r="AR19" s="211">
        <v>3</v>
      </c>
      <c r="AS19" s="153">
        <f t="shared" si="18"/>
        <v>0</v>
      </c>
      <c r="AT19" s="153">
        <f t="shared" si="18"/>
        <v>0</v>
      </c>
      <c r="AU19" s="211"/>
      <c r="AV19" s="212"/>
      <c r="AW19" s="211"/>
      <c r="AX19" s="212"/>
      <c r="AY19" s="133">
        <f>SUBTOTAL(9,AY9:AY18)</f>
        <v>3105</v>
      </c>
      <c r="AZ19" s="134">
        <f>SUBTOTAL(9,AZ9:AZ18)</f>
        <v>1169</v>
      </c>
      <c r="BA19" s="134">
        <f>SUBTOTAL(9,BA9:BA18)</f>
        <v>1038</v>
      </c>
      <c r="BB19" s="134">
        <f>SUBTOTAL(9,BB9:BB18)</f>
        <v>3209</v>
      </c>
      <c r="BC19" s="135">
        <f>SUBTOTAL(9,BC9:BC18)</f>
        <v>277</v>
      </c>
      <c r="BD19" s="213">
        <f>IF(ISNUMBER(BA19/AZ19),BA19/AZ19," - ")</f>
        <v>0.88793840889649278</v>
      </c>
      <c r="BE19" s="210">
        <f>IF(ISNUMBER(BB19/BA19),BB19/BA19, " - ")</f>
        <v>3.0915221579961463</v>
      </c>
      <c r="BF19" s="210">
        <f>IF(ISNUMBER(BC19/BA19),BC19/BA19, " - ")</f>
        <v>0.26685934489402696</v>
      </c>
      <c r="BG19" s="135">
        <f>IF(ISNUMBER((AY19+AZ19)/BA19),(AY19+AZ19)/BA19," - ")</f>
        <v>4.1175337186897885</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KWbbd90M81Y0JKi2v8BdyEHOlgxyoM6MwIc5dXVmXYC7dAZ6rc7xziMYVCVez+9Wh4yMPBq+M8YQaas0liFhw==" saltValue="IrG6PoLzt6ssmii6fzNIA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MDW8rEwTfhR03olNhio3XTNk9G/SLDp61+box6aG2n/m0l6ivyRtmu1JvI2fePRWngZOSuIiwANAYD9suvtaA==" saltValue="tM4xatEKI8CFFszK4CmHS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ALMENDRALEJO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43</v>
      </c>
      <c r="G10" s="333">
        <f>IF(ISNUMBER(Datos!I10),Datos!I10," - ")</f>
        <v>43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14</v>
      </c>
      <c r="AC10" s="226">
        <f>IF(ISNUMBER(Datos!Q10),Datos!Q10," - ")</f>
        <v>0</v>
      </c>
      <c r="AD10" s="334"/>
      <c r="AE10" s="484"/>
      <c r="AF10" s="332">
        <f>IF(ISNUMBER(Datos!L10),Datos!L10,"-")</f>
        <v>44</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4</v>
      </c>
      <c r="BE10" s="229" t="str">
        <f>IF(ISNUMBER(Datos!BW10),Datos!BW10," - ")</f>
        <v xml:space="preserve"> - </v>
      </c>
      <c r="BF10" s="228" t="str">
        <f>IF(ISNUMBER(Datos!BX10),Datos!BX10," - ")</f>
        <v xml:space="preserve"> - </v>
      </c>
      <c r="BG10" s="243">
        <f>IF(ISNUMBER(Datos!K10/Datos!J10),Datos!K10/Datos!J10," - ")</f>
        <v>0.93333333333333335</v>
      </c>
      <c r="BH10" s="260">
        <f>IF(ISNUMBER(((Datos!L10/Datos!K10)*11)/factor_trimestre),((Datos!L10/Datos!K10)*11)/factor_trimestre," - ")</f>
        <v>9.4285714285714288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0.42857142857142855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v>
      </c>
      <c r="O12" s="334"/>
      <c r="P12" s="334"/>
      <c r="Q12" s="226">
        <f>IF(ISNUMBER(Datos!P12),Datos!P12,0)</f>
        <v>136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406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53</v>
      </c>
      <c r="AI12" s="334" t="str">
        <f>IF(ISNUMBER(Datos!CD12),Datos!CD12,"-")</f>
        <v>-</v>
      </c>
      <c r="AJ12" s="334" t="str">
        <f>IF(ISNUMBER(Datos!EN12),Datos!EN12," - ")</f>
        <v xml:space="preserve"> - </v>
      </c>
      <c r="AK12" s="334"/>
      <c r="AL12" s="479"/>
      <c r="AM12" s="335">
        <f>IF(ISNUMBER(Datos!R12),Datos!R12," - ")</f>
        <v>2841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184</v>
      </c>
      <c r="BD12" s="229">
        <f>IF(ISNUMBER(Datos!N12),Datos!N12," - ")</f>
        <v>134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0.89518900343642616</v>
      </c>
      <c r="BH12" s="260">
        <f>IF(ISNUMBER(((IF(J_V="SI",Datos!L12/Datos!K12,(Datos!L12+Datos!AB12)/(Datos!K12+Datos!AA12)))*11)/factor_trimestre),((IF(J_V="SI",Datos!L12/Datos!K12,(Datos!L12+Datos!AB12)/(Datos!K12+Datos!AA12)))*11)/factor_trimestre," - ")</f>
        <v>14.055662188099809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-8.6788813886210223E-2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43</v>
      </c>
      <c r="G13" s="898">
        <f t="shared" si="0"/>
        <v>43</v>
      </c>
      <c r="H13" s="899">
        <f t="shared" si="0"/>
        <v>0</v>
      </c>
      <c r="I13" s="898">
        <f t="shared" si="0"/>
        <v>0</v>
      </c>
      <c r="J13" s="867">
        <f t="shared" si="0"/>
        <v>0</v>
      </c>
      <c r="K13" s="867">
        <f t="shared" si="0"/>
        <v>0</v>
      </c>
      <c r="L13" s="899">
        <f t="shared" si="0"/>
        <v>0</v>
      </c>
      <c r="M13" s="899">
        <f t="shared" si="0"/>
        <v>0</v>
      </c>
      <c r="N13" s="899">
        <f t="shared" si="0"/>
        <v>20</v>
      </c>
      <c r="O13" s="900">
        <f t="shared" si="0"/>
        <v>0</v>
      </c>
      <c r="P13" s="900">
        <f t="shared" si="0"/>
        <v>0</v>
      </c>
      <c r="Q13" s="899">
        <f t="shared" si="0"/>
        <v>139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14</v>
      </c>
      <c r="AC13" s="899">
        <f t="shared" si="1"/>
        <v>406</v>
      </c>
      <c r="AD13" s="899">
        <f t="shared" si="1"/>
        <v>0</v>
      </c>
      <c r="AE13" s="899">
        <f t="shared" si="1"/>
        <v>0</v>
      </c>
      <c r="AF13" s="899">
        <f t="shared" si="1"/>
        <v>44</v>
      </c>
      <c r="AG13" s="899">
        <f t="shared" si="1"/>
        <v>0</v>
      </c>
      <c r="AH13" s="899">
        <f t="shared" si="1"/>
        <v>53</v>
      </c>
      <c r="AI13" s="899">
        <f t="shared" si="1"/>
        <v>0</v>
      </c>
      <c r="AJ13" s="899">
        <f t="shared" si="1"/>
        <v>0</v>
      </c>
      <c r="AK13" s="899">
        <f t="shared" si="1"/>
        <v>0</v>
      </c>
      <c r="AL13" s="899">
        <f t="shared" si="1"/>
        <v>0</v>
      </c>
      <c r="AM13" s="899">
        <f t="shared" si="1"/>
        <v>2851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184</v>
      </c>
      <c r="BD13" s="899">
        <f t="shared" si="1"/>
        <v>138</v>
      </c>
      <c r="BE13" s="899">
        <f t="shared" si="1"/>
        <v>0</v>
      </c>
      <c r="BF13" s="899">
        <f t="shared" si="1"/>
        <v>0</v>
      </c>
      <c r="BG13" s="899">
        <f>IF(ISNUMBER(Datos!K13/Datos!J13),Datos!K13/Datos!J13," - ")</f>
        <v>0.89254766031195842</v>
      </c>
      <c r="BH13" s="903">
        <f>IF(ISNUMBER(((Datos!L13/Datos!K13)*11)/factor_trimestre),((Datos!L13/Datos!K13)*11)/factor_trimestre," - ")</f>
        <v>14.166990291262136</v>
      </c>
      <c r="BI13" s="899">
        <f>IF(ISNUMBER('Resol  Asuntos'!D13/NºAsuntos!G13),'Resol  Asuntos'!D13/NºAsuntos!G13," - ")</f>
        <v>0.34392523364485983</v>
      </c>
      <c r="BJ13" s="899" t="str">
        <f>IF(ISNUMBER(Datos!CI13/Datos!CJ13),Datos!CI13/Datos!CJ13," - ")</f>
        <v xml:space="preserve"> - </v>
      </c>
      <c r="BK13" s="899">
        <f>SUBTOTAL(9,BK8:BK12)</f>
        <v>0</v>
      </c>
      <c r="BL13" s="899">
        <f>IF(ISNUMBER((I13-AB13+L13)/(F13)),(I13-AB13+L13)/(F13)," - ")</f>
        <v>-0.32558139534883723</v>
      </c>
      <c r="BM13" s="904">
        <f>SUBTOTAL(9,BM9:BM12)</f>
        <v>0.34178261468521831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1507</v>
      </c>
      <c r="G16" s="598">
        <f>IF(ISNUMBER(IF(D_I="SI",Datos!I16,Datos!I16+Datos!AC16)),IF(D_I="SI",Datos!I16,Datos!I16+Datos!AC16)," - ")</f>
        <v>1507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620</v>
      </c>
      <c r="AC16" s="226">
        <f>IF(ISNUMBER(Datos!Q16),Datos!Q16," - ")</f>
        <v>1</v>
      </c>
      <c r="AD16" s="334"/>
      <c r="AE16" s="484"/>
      <c r="AF16" s="596">
        <f>IF(ISNUMBER(IF(D_I="SI",Datos!L16,Datos!L16+Datos!AF16)),IF(D_I="SI",Datos!L16,Datos!L16+Datos!AF16)," - ")</f>
        <v>1455</v>
      </c>
      <c r="AG16" s="334"/>
      <c r="AH16" s="334"/>
      <c r="AI16" s="334"/>
      <c r="AJ16" s="334"/>
      <c r="AK16" s="334"/>
      <c r="AL16" s="479"/>
      <c r="AM16" s="335">
        <f>IF(ISNUMBER(Datos!R16),Datos!R16," - ")</f>
        <v>123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53</v>
      </c>
      <c r="BD16" s="229">
        <f>IF(ISNUMBER(Datos!N16),Datos!N16," - ")</f>
        <v>394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1.091549295774648</v>
      </c>
      <c r="BH16" s="260">
        <f>IF(ISNUMBER(((IF(D_I="SI",Datos!L16/Datos!K16,(Datos!L16+Datos!AF16)/(Datos!K16+Datos!AE16)))*11)/factor_trimestre),((IF(D_I="SI",Datos!L16/Datos!K16,(Datos!L16+Datos!AF16)/(Datos!K16+Datos!AE16)))*11)/factor_trimestre," - ")</f>
        <v>7.040322580645161</v>
      </c>
      <c r="BI16" s="243">
        <f>IF(ISNUMBER('Resol  Asuntos'!D16/NºAsuntos!G16),'Resol  Asuntos'!D16/NºAsuntos!G16," - ")</f>
        <v>8.5483870967741932E-2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39</v>
      </c>
      <c r="AC17" s="226">
        <f>IF(ISNUMBER(Datos!Q17),Datos!Q17," - ")</f>
        <v>1</v>
      </c>
      <c r="AD17" s="334"/>
      <c r="AE17" s="484"/>
      <c r="AF17" s="332">
        <f>IF(ISNUMBER(Datos!L17),Datos!L17,"-")</f>
        <v>183</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23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0.66101694915254239</v>
      </c>
      <c r="BH17" s="260">
        <f>IF(ISNUMBER(((IF(D_I="SI",Datos!L17/Datos!K17,(Datos!L17+Datos!AF17)/(Datos!K17+Datos!AE17)))*11)/factor_trimestre),((IF(D_I="SI",Datos!L17/Datos!K17,(Datos!L17+Datos!AF17)/(Datos!K17+Datos!AE17)))*11)/factor_trimestre," - ")</f>
        <v>14.076923076923078</v>
      </c>
      <c r="BI17" s="243">
        <f>IF(ISNUMBER('Resol  Asuntos'!D17/NºAsuntos!G17),'Resol  Asuntos'!D17/NºAsuntos!G17," - ")</f>
        <v>0.23076923076923078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1507</v>
      </c>
      <c r="G18" s="898">
        <f>SUBTOTAL(9,G15:G17)</f>
        <v>1670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659</v>
      </c>
      <c r="AC18" s="899">
        <f t="shared" si="4"/>
        <v>2</v>
      </c>
      <c r="AD18" s="899">
        <f t="shared" si="4"/>
        <v>0</v>
      </c>
      <c r="AE18" s="899">
        <f t="shared" si="4"/>
        <v>0</v>
      </c>
      <c r="AF18" s="899">
        <f t="shared" si="4"/>
        <v>1638</v>
      </c>
      <c r="AG18" s="899">
        <f t="shared" si="4"/>
        <v>0</v>
      </c>
      <c r="AH18" s="899">
        <f t="shared" si="4"/>
        <v>0</v>
      </c>
      <c r="AI18" s="899">
        <f t="shared" si="4"/>
        <v>0</v>
      </c>
      <c r="AJ18" s="899">
        <f t="shared" si="4"/>
        <v>0</v>
      </c>
      <c r="AK18" s="899">
        <f t="shared" si="4"/>
        <v>0</v>
      </c>
      <c r="AL18" s="899">
        <f t="shared" si="4"/>
        <v>0</v>
      </c>
      <c r="AM18" s="899">
        <f t="shared" si="4"/>
        <v>130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62</v>
      </c>
      <c r="BD18" s="899">
        <f t="shared" si="4"/>
        <v>417</v>
      </c>
      <c r="BE18" s="899">
        <f t="shared" si="4"/>
        <v>0</v>
      </c>
      <c r="BF18" s="899">
        <f t="shared" si="4"/>
        <v>0</v>
      </c>
      <c r="BG18" s="899">
        <f>IF(ISNUMBER(Datos!K18/Datos!J18),Datos!K18/Datos!J18," - ")</f>
        <v>1.0510366826156299</v>
      </c>
      <c r="BH18" s="903">
        <f>IF(ISNUMBER(((Datos!L18/Datos!K18)*11)/factor_trimestre),((Datos!L18/Datos!K18)*11)/factor_trimestre," - ")</f>
        <v>7.4567526555386943</v>
      </c>
      <c r="BI18" s="899">
        <f>SUBTOTAL(9,BI15:BI17)</f>
        <v>0.31625310173697274</v>
      </c>
      <c r="BJ18" s="899">
        <f>SUBTOTAL(9,BJ15:BJ17)</f>
        <v>0</v>
      </c>
      <c r="BK18" s="899">
        <f>SUBTOTAL(9,BK15:BK17)</f>
        <v>0</v>
      </c>
      <c r="BL18" s="899">
        <f>IF(ISNUMBER((I18-AB18+L18)/(F18)),(I18-AB18+L18)/(F18)," - ")</f>
        <v>-0.43729263437292637</v>
      </c>
      <c r="BM18" s="905">
        <f>IF(ISNUMBER((Datos!P18-Datos!Q18)/(Datos!R18-Datos!P18+Datos!Q18)),(Datos!P18-Datos!Q18)/(Datos!R18-Datos!P18+Datos!Q18)," - ")</f>
        <v>0.10169491525423729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1550</v>
      </c>
      <c r="G19" s="820">
        <f t="shared" si="6"/>
        <v>1713</v>
      </c>
      <c r="H19" s="822">
        <f t="shared" si="6"/>
        <v>0</v>
      </c>
      <c r="I19" s="820">
        <f t="shared" si="6"/>
        <v>0</v>
      </c>
      <c r="J19" s="822">
        <f t="shared" si="6"/>
        <v>0</v>
      </c>
      <c r="K19" s="822">
        <f t="shared" si="6"/>
        <v>0</v>
      </c>
      <c r="L19" s="881">
        <f t="shared" si="6"/>
        <v>0</v>
      </c>
      <c r="M19" s="881">
        <f t="shared" si="6"/>
        <v>0</v>
      </c>
      <c r="N19" s="881">
        <f t="shared" si="6"/>
        <v>20</v>
      </c>
      <c r="O19" s="881">
        <f t="shared" si="6"/>
        <v>0</v>
      </c>
      <c r="P19" s="881">
        <f t="shared" si="6"/>
        <v>0</v>
      </c>
      <c r="Q19" s="822">
        <f t="shared" si="6"/>
        <v>153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673</v>
      </c>
      <c r="AC19" s="821">
        <f t="shared" si="7"/>
        <v>408</v>
      </c>
      <c r="AD19" s="821">
        <f t="shared" si="7"/>
        <v>0</v>
      </c>
      <c r="AE19" s="821">
        <f t="shared" si="7"/>
        <v>0</v>
      </c>
      <c r="AF19" s="828">
        <f t="shared" si="7"/>
        <v>1682</v>
      </c>
      <c r="AG19" s="828">
        <f t="shared" si="7"/>
        <v>0</v>
      </c>
      <c r="AH19" s="828">
        <f t="shared" si="7"/>
        <v>53</v>
      </c>
      <c r="AI19" s="828">
        <f t="shared" si="7"/>
        <v>0</v>
      </c>
      <c r="AJ19" s="821">
        <f t="shared" si="7"/>
        <v>0</v>
      </c>
      <c r="AK19" s="828">
        <f t="shared" si="7"/>
        <v>0</v>
      </c>
      <c r="AL19" s="828">
        <f t="shared" si="7"/>
        <v>0</v>
      </c>
      <c r="AM19" s="828">
        <f t="shared" si="7"/>
        <v>2981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246</v>
      </c>
      <c r="BD19" s="820">
        <f t="shared" si="7"/>
        <v>555</v>
      </c>
      <c r="BE19" s="820">
        <f t="shared" si="7"/>
        <v>0</v>
      </c>
      <c r="BF19" s="830">
        <f t="shared" si="7"/>
        <v>0</v>
      </c>
      <c r="BG19" s="915">
        <f>IF(ISNUMBER(Datos!K19/Datos!J19),Datos!K19/Datos!J19," - ")</f>
        <v>0.97508305647840532</v>
      </c>
      <c r="BH19" s="915">
        <f>IF(ISNUMBER(((Datos!L19/Datos!K19)*11)/factor_trimestre),((Datos!L19/Datos!K19)*11)/factor_trimestre," - ")</f>
        <v>10.400340715502557</v>
      </c>
      <c r="BI19" s="813">
        <f>IF(ISNUMBER(Datos!J19/Datos!I19),Datos!J19/Datos!I19," - ")</f>
        <v>0.29801980198019801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-0.43419354838709678</v>
      </c>
      <c r="BM19" s="889">
        <f>IF(ISNUMBER((Datos!P19-Datos!Q19+R19)/(Datos!R19-Datos!P19+Datos!Q19-R19)),(Datos!P19-Datos!Q19+R19)/(Datos!R19-Datos!P19+Datos!Q19-R19)," - ")</f>
        <v>-7.8800988875154507E-2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685.2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845.24079409361207</v>
      </c>
      <c r="G21" s="552">
        <f>IF(ISNUMBER(STDEV(G8:G18)),STDEV(G8:G18),"-")</f>
        <v>828.05808974974696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338.47112136783545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82.585713050139603</v>
      </c>
      <c r="BD21" s="551"/>
      <c r="BE21" s="551">
        <f>IF(ISNUMBER(STDEV(BE8:BE18)),STDEV(BE8:BE18),"-")</f>
        <v>0</v>
      </c>
      <c r="BF21" s="556">
        <f>IF(ISNUMBER(STDEV(BF8:BF18)),STDEV(BF8:BF18),"-")</f>
        <v>0</v>
      </c>
      <c r="BG21" s="775">
        <f>IF(ISNUMBER(STDEV(BG8:BG18)),STDEV(BG8:BG18),"-")</f>
        <v>0.15179943913584792</v>
      </c>
      <c r="BH21" s="776">
        <f>IF(ISNUMBER(STDEV(BH8:BH18)),STDEV(BH8:BH18),"-")</f>
        <v>3.4504763475122524</v>
      </c>
      <c r="BI21" s="249">
        <f>IF(ISNUMBER(STDEV(BI8:BI18)),STDEV(BI8:BI18),"-")</f>
        <v>0.116200879102965</v>
      </c>
      <c r="BJ21" s="230" t="str">
        <f>IF(ISNUMBER(BL21/BM21),BL21/BM21," - ")</f>
        <v xml:space="preserve"> - </v>
      </c>
      <c r="BK21" s="575"/>
      <c r="BL21" s="559">
        <f>IF(ISNUMBER(STDEV(BL8:BL18)),STDEV(BL8:BL18),"-")</f>
        <v>7.8991774648684857E-2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k6j3V4FDulEZ3e/r2g5GgBabR9m22Ba2viPyeRsuot8vfoa46Mtx9BNhZmYiFxg6ui9w9NNYKVfmpd8MI3isbA==" saltValue="jRkkI12Mccev0VeieTQNu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ALMENDRALEJO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43</v>
      </c>
      <c r="G10" s="225">
        <f>IF(ISNUMBER(Datos!I10),Datos!I10," - ")</f>
        <v>43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14</v>
      </c>
      <c r="Z10" s="619">
        <f>IF(ISNUMBER(Datos!Q10),Datos!Q10," - ")</f>
        <v>0</v>
      </c>
      <c r="AA10" s="332">
        <f>IF(ISNUMBER(Datos!L10),Datos!L10,"-")</f>
        <v>44</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0</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9.4285714285714288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0.42857142857142855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406</v>
      </c>
      <c r="AA12" s="332" t="str">
        <f>IF(ISNUMBER(IF(J_V="SI",Datos!L12,Datos!L12+Datos!AB12)-IF(Monitorios="SI",Datos!CD12,0)),
                          IF(J_V="SI",Datos!L12,Datos!L12+Datos!AB12)-IF(Monitorios="SI",Datos!CD12,0),
                          " - ")</f>
        <v xml:space="preserve"> - </v>
      </c>
      <c r="AB12" s="334"/>
      <c r="AC12" s="334"/>
      <c r="AD12" s="484"/>
      <c r="AE12" s="484">
        <f>IF(ISNUMBER(Datos!R12),Datos!R12," - ")</f>
        <v>2841</v>
      </c>
      <c r="AF12" s="229" t="str">
        <f>IF(ISNUMBER(Datos!BV12),Datos!BV12," - ")</f>
        <v xml:space="preserve"> - </v>
      </c>
      <c r="AG12" s="225" t="str">
        <f>IF(ISNUMBER(Datos!DV12),Datos!DV12," - ")</f>
        <v xml:space="preserve"> - </v>
      </c>
      <c r="AH12" s="298"/>
      <c r="AI12" s="227"/>
      <c r="AJ12" s="225">
        <f>IF(ISNUMBER(Datos!M12),Datos!M12," - ")</f>
        <v>184</v>
      </c>
      <c r="AK12" s="229">
        <f>IF(ISNUMBER(Datos!N12),Datos!N12," - ")</f>
        <v>134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14.055662188099809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-8.6788813886210223E-2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43</v>
      </c>
      <c r="G13" s="898">
        <f>SUBTOTAL(9,G8:G12)</f>
        <v>43</v>
      </c>
      <c r="H13" s="908"/>
      <c r="I13" s="898">
        <f t="shared" ref="I13:N13" si="0">SUBTOTAL(9,I8:I12)</f>
        <v>0</v>
      </c>
      <c r="J13" s="867">
        <f t="shared" si="0"/>
        <v>0</v>
      </c>
      <c r="K13" s="908">
        <f t="shared" si="0"/>
        <v>0</v>
      </c>
      <c r="L13" s="908">
        <f t="shared" si="0"/>
        <v>0</v>
      </c>
      <c r="M13" s="908">
        <f t="shared" si="0"/>
        <v>0</v>
      </c>
      <c r="N13" s="908">
        <f t="shared" si="0"/>
        <v>139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14</v>
      </c>
      <c r="Z13" s="907">
        <f t="shared" si="2"/>
        <v>406</v>
      </c>
      <c r="AA13" s="900">
        <f t="shared" si="2"/>
        <v>44</v>
      </c>
      <c r="AB13" s="900">
        <f t="shared" si="2"/>
        <v>0</v>
      </c>
      <c r="AC13" s="900">
        <f t="shared" si="2"/>
        <v>0</v>
      </c>
      <c r="AD13" s="900">
        <f t="shared" si="2"/>
        <v>0</v>
      </c>
      <c r="AE13" s="900">
        <f t="shared" si="2"/>
        <v>2851</v>
      </c>
      <c r="AF13" s="908">
        <f t="shared" si="2"/>
        <v>0</v>
      </c>
      <c r="AG13" s="908">
        <f t="shared" si="2"/>
        <v>0</v>
      </c>
      <c r="AH13" s="908">
        <f t="shared" si="2"/>
        <v>0</v>
      </c>
      <c r="AI13" s="908">
        <f t="shared" si="2"/>
        <v>0</v>
      </c>
      <c r="AJ13" s="908">
        <f t="shared" si="2"/>
        <v>184</v>
      </c>
      <c r="AK13" s="908">
        <f t="shared" si="2"/>
        <v>138</v>
      </c>
      <c r="AL13" s="908">
        <f t="shared" si="2"/>
        <v>0</v>
      </c>
      <c r="AM13" s="908">
        <f t="shared" si="2"/>
        <v>0</v>
      </c>
      <c r="AN13" s="908">
        <f t="shared" si="2"/>
        <v>0</v>
      </c>
      <c r="AO13" s="904">
        <f>IF(ISNUMBER(((NºAsuntos!I13/NºAsuntos!G13)*11)/factor_trimestre),((NºAsuntos!I13/NºAsuntos!G13)*11)/factor_trimestre," - ")</f>
        <v>13.934579439252339</v>
      </c>
      <c r="AP13" s="910" t="str">
        <f>IF(ISNUMBER(Datos!CI13/Datos!CJ13),Datos!CI13/Datos!CJ13," - ")</f>
        <v xml:space="preserve"> - </v>
      </c>
      <c r="AQ13" s="928">
        <f t="shared" ref="AQ13:AV13" si="3">SUBTOTAL(9,AQ9:AQ12)</f>
        <v>0</v>
      </c>
      <c r="AR13" s="928">
        <f t="shared" si="3"/>
        <v>0.34178261468521831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1507</v>
      </c>
      <c r="G16" s="225">
        <f>IF(ISNUMBER(IF(D_I="SI",Datos!I16,Datos!I16+Datos!AC16)),IF(D_I="SI",Datos!I16,Datos!I16+Datos!AC16)," - ")</f>
        <v>1507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620</v>
      </c>
      <c r="Z16" s="619">
        <f>IF(ISNUMBER(Datos!Q16),Datos!Q16," - ")</f>
        <v>1</v>
      </c>
      <c r="AA16" s="332">
        <f>IF(ISNUMBER(IF(D_I="SI",Datos!L16,Datos!L16+Datos!AF16)),IF(D_I="SI",Datos!L16,Datos!L16+Datos!AF16)," - ")</f>
        <v>1455</v>
      </c>
      <c r="AB16" s="334"/>
      <c r="AC16" s="334"/>
      <c r="AD16" s="484"/>
      <c r="AE16" s="484">
        <f>IF(ISNUMBER(Datos!R16),Datos!R16," - ")</f>
        <v>123</v>
      </c>
      <c r="AF16" s="229" t="str">
        <f>IF(ISNUMBER(Datos!BV16),Datos!BV16," - ")</f>
        <v xml:space="preserve"> - </v>
      </c>
      <c r="AG16" s="225"/>
      <c r="AH16" s="298"/>
      <c r="AI16" s="227"/>
      <c r="AJ16" s="225">
        <f>IF(ISNUMBER(Datos!M16),Datos!M16," - ")</f>
        <v>53</v>
      </c>
      <c r="AK16" s="229">
        <f>IF(ISNUMBER(Datos!N16),Datos!N16," - ")</f>
        <v>394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7.040322580645161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39</v>
      </c>
      <c r="Z17" s="619">
        <f>IF(ISNUMBER(Datos!Q17),Datos!Q17," - ")</f>
        <v>1</v>
      </c>
      <c r="AA17" s="332">
        <f>IF(ISNUMBER(Datos!L17),Datos!L17,"-")</f>
        <v>183</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9</v>
      </c>
      <c r="AK17" s="229">
        <f>IF(ISNUMBER(Datos!N17),Datos!N17," - ")</f>
        <v>23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14.076923076923078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1507</v>
      </c>
      <c r="G18" s="898">
        <f>SUBTOTAL(9,G15:G17)</f>
        <v>1670</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659</v>
      </c>
      <c r="Z18" s="932">
        <f t="shared" si="5"/>
        <v>2</v>
      </c>
      <c r="AA18" s="932">
        <f t="shared" si="5"/>
        <v>1638</v>
      </c>
      <c r="AB18" s="932">
        <f t="shared" si="5"/>
        <v>0</v>
      </c>
      <c r="AC18" s="932">
        <f t="shared" si="5"/>
        <v>0</v>
      </c>
      <c r="AD18" s="932">
        <f t="shared" si="5"/>
        <v>0</v>
      </c>
      <c r="AE18" s="932">
        <f t="shared" si="5"/>
        <v>130</v>
      </c>
      <c r="AF18" s="932">
        <f t="shared" si="5"/>
        <v>0</v>
      </c>
      <c r="AG18" s="932">
        <f t="shared" si="5"/>
        <v>0</v>
      </c>
      <c r="AH18" s="932">
        <f t="shared" si="5"/>
        <v>0</v>
      </c>
      <c r="AI18" s="932">
        <f t="shared" si="5"/>
        <v>0</v>
      </c>
      <c r="AJ18" s="932">
        <f t="shared" si="5"/>
        <v>62</v>
      </c>
      <c r="AK18" s="932">
        <f t="shared" si="5"/>
        <v>417</v>
      </c>
      <c r="AL18" s="932">
        <f t="shared" si="5"/>
        <v>0</v>
      </c>
      <c r="AM18" s="932">
        <f t="shared" si="5"/>
        <v>0</v>
      </c>
      <c r="AN18" s="932">
        <f t="shared" si="5"/>
        <v>0</v>
      </c>
      <c r="AO18" s="934">
        <f>IF(ISNUMBER(((NºAsuntos!I18/NºAsuntos!G18)*11)/factor_trimestre),((NºAsuntos!I18/NºAsuntos!G18)*11)/factor_trimestre," - ")</f>
        <v>7.4567526555386943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1550</v>
      </c>
      <c r="G19" s="820">
        <f t="shared" si="7"/>
        <v>1713</v>
      </c>
      <c r="H19" s="821">
        <f t="shared" si="7"/>
        <v>0</v>
      </c>
      <c r="I19" s="820">
        <f t="shared" si="7"/>
        <v>0</v>
      </c>
      <c r="J19" s="822">
        <f t="shared" si="7"/>
        <v>0</v>
      </c>
      <c r="K19" s="820">
        <f t="shared" si="7"/>
        <v>0</v>
      </c>
      <c r="L19" s="823">
        <f t="shared" si="7"/>
        <v>0</v>
      </c>
      <c r="M19" s="820">
        <f t="shared" si="7"/>
        <v>0</v>
      </c>
      <c r="N19" s="821">
        <f t="shared" si="7"/>
        <v>153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673</v>
      </c>
      <c r="Z19" s="827">
        <f t="shared" si="8"/>
        <v>408</v>
      </c>
      <c r="AA19" s="828">
        <f t="shared" si="8"/>
        <v>1682</v>
      </c>
      <c r="AB19" s="828">
        <f t="shared" si="8"/>
        <v>0</v>
      </c>
      <c r="AC19" s="828">
        <f t="shared" si="8"/>
        <v>0</v>
      </c>
      <c r="AD19" s="829">
        <f t="shared" si="8"/>
        <v>0</v>
      </c>
      <c r="AE19" s="829">
        <f t="shared" si="8"/>
        <v>2981</v>
      </c>
      <c r="AF19" s="830">
        <f t="shared" si="8"/>
        <v>0</v>
      </c>
      <c r="AG19" s="831">
        <f t="shared" si="8"/>
        <v>0</v>
      </c>
      <c r="AH19" s="832">
        <f t="shared" si="8"/>
        <v>0</v>
      </c>
      <c r="AI19" s="830">
        <f t="shared" si="8"/>
        <v>0</v>
      </c>
      <c r="AJ19" s="820">
        <f t="shared" si="8"/>
        <v>246</v>
      </c>
      <c r="AK19" s="820">
        <f t="shared" si="8"/>
        <v>555</v>
      </c>
      <c r="AL19" s="820">
        <f t="shared" si="8"/>
        <v>0</v>
      </c>
      <c r="AM19" s="833">
        <f t="shared" si="8"/>
        <v>0</v>
      </c>
      <c r="AN19" s="823">
        <f>IF(ISNUMBER(Datos!K19/Datos!J19),Datos!K19/Datos!J19," - ")</f>
        <v>0.97508305647840532</v>
      </c>
      <c r="AO19" s="823">
        <f>IF(ISNUMBER(FIND("06",Criterios!A8,1)),(IF(ISNUMBER(((Datos!R19/Datos!Q19)*11)/factor_trimestre),((Datos!R19/Datos!Q19)*11)/factor_trimestre," - ")),(IF(ISNUMBER(((Datos!L19/Datos!K19)*11)/factor_trimestre),((Datos!L19/Datos!K19)*11)/factor_trimestre," - ")))</f>
        <v>10.400340715502557</v>
      </c>
      <c r="AP19" s="834" t="str">
        <f>IF(ISNUMBER(Datos!CI19/Datos!CJ19),Datos!CI19/Datos!CJ19," - ")</f>
        <v xml:space="preserve"> - </v>
      </c>
      <c r="AQ19" s="834">
        <f>IF(OR(ISNUMBER(FIND("01",Criterios!A8,1)),ISNUMBER(FIND("02",Criterios!A8,1)),ISNUMBER(FIND("03",Criterios!A8,1)),ISNUMBER(FIND("04",Criterios!A8,1))),(J19-Y19+K19)/(F19-K19),(I19-Y19+K19)/(F19-K19))</f>
        <v>-0.43419354838709678</v>
      </c>
      <c r="AR19" s="834">
        <f>IF(ISNUMBER((Datos!P19-Datos!Q19+O19)/(Datos!R19-Datos!P19+Datos!Q19-O19)),(Datos!P19-Datos!Q19+O19)/(Datos!R19-Datos!P19+Datos!Q19-O19)," - ")</f>
        <v>-7.8800988875154507E-2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685.2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845.24079409361207</v>
      </c>
      <c r="G21" s="552">
        <f>IF(ISNUMBER(STDEV(G8:G18)),STDEV(G8:G18),"-")</f>
        <v>828.05808974974696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82.585713050139603</v>
      </c>
      <c r="AK21" s="252"/>
      <c r="AL21" s="252">
        <f>IF(ISNUMBER(STDEV(AL8:AL18)),STDEV(AL8:AL18),"-")</f>
        <v>0</v>
      </c>
      <c r="AM21" s="254">
        <f>IF(ISNUMBER(STDEV(AM8:AM18)),STDEV(AM8:AM18),"-")</f>
        <v>0</v>
      </c>
      <c r="AN21" s="539">
        <f>IF(ISNUMBER(STDEV(AN8:AN18)),STDEV(AN8:AN18),"-")</f>
        <v>0</v>
      </c>
      <c r="AO21" s="540">
        <f>IF(ISNUMBER(STDEV(AO8:AO18)),STDEV(AO8:AO18),"-")</f>
        <v>3.4093785259520271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9BA7Pki8iBlnXUehP+6ATtfG+VEOGjv/NovujP1moMDxrzHy8eBdbpOTWGmOcsQfSU16aGQ7vXWgPQqwZVVmJg==" saltValue="9zSZg5y1oW+A+A5Z7k1ak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0OOGpsguZwtP5FPIGGySaXdXHev2BRZO4IeTKBTqFgK3+/8V0L3LhkERukmuovq7co1lgZZu26YnK/+gX8MQw==" saltValue="V3qCzeEX7nXRVs7AXSz5l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g1Mi7COJQB/2w/U1XED0HRvSHrhdHvtJlAZ3qNvzidqi09CAQ5JOeSGANR1IjJwvYBwgvsaRnEibsQKFSJ/xQ==" saltValue="8Edyw9wby8xEPibCyfmV3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ALMENDRALEJO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0.34392523364485983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0.24319186493144815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u/zbmPFbHGBSsT2OjKc4v2EppTWxZGXB5nvGgCJnSGWjVJrxXHW6SSuKbtuZYmwXrVDTWXRXK6nslImV/a89fw==" saltValue="q8uq4MK/mReFoUKND5Q0+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IXSPBqciV/Br+tkr0/eZDVLqqesnRHSjDmu6eilLhehVIrFHVcxgU7Y2yWe4IOOZJKTdHoe+bmoDExDUoXXVA==" saltValue="fCeRkVqdCbPCPw4ZZSxO0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ALMENDRALEJO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43</v>
      </c>
      <c r="D10" s="404">
        <f>IF(ISNUMBER(C10/Datos!BH10),C10/Datos!BH10," - ")</f>
        <v>43</v>
      </c>
      <c r="E10" s="403">
        <f>IF(ISNUMBER(Datos!J10),Datos!J10," - ")</f>
        <v>15</v>
      </c>
      <c r="F10" s="404">
        <f>IF(ISNUMBER(E10/B10),E10/B10," - ")</f>
        <v>15</v>
      </c>
      <c r="G10" s="403">
        <f>IF(ISNUMBER(Datos!K10),Datos!K10," - ")</f>
        <v>14</v>
      </c>
      <c r="H10" s="404">
        <f>IF(ISNUMBER(G10/B10),G10/B10," - ")</f>
        <v>14</v>
      </c>
      <c r="I10" s="403">
        <f>IF(ISNUMBER(Datos!L10),Datos!L10," - ")</f>
        <v>44</v>
      </c>
      <c r="J10" s="404">
        <f>IF(ISNUMBER(I10/B10),I10/B10," - ")</f>
        <v>44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2380</v>
      </c>
      <c r="D12" s="404">
        <f>IF(ISNUMBER(C12/Datos!BH12),C12/Datos!BH12," - ")</f>
        <v>793.33333333333337</v>
      </c>
      <c r="E12" s="403">
        <f>IF(ISNUMBER(IF(J_V="SI",Datos!J12,Datos!J12+Datos!Z12)),IF(J_V="SI",Datos!J12,Datos!J12+Datos!Z12)," - ")</f>
        <v>582</v>
      </c>
      <c r="F12" s="404">
        <f>IF(ISNUMBER(E12/B12),E12/B12," - ")</f>
        <v>194</v>
      </c>
      <c r="G12" s="403">
        <f>IF(ISNUMBER(IF(J_V="SI",Datos!K12,Datos!K12+Datos!AA12)),IF(J_V="SI",Datos!K12,Datos!K12+Datos!AA12)," - ")</f>
        <v>521</v>
      </c>
      <c r="H12" s="404">
        <f>IF(ISNUMBER(G12/B12),G12/B12," - ")</f>
        <v>173.66666666666666</v>
      </c>
      <c r="I12" s="403">
        <f>IF(ISNUMBER(IF(J_V="SI",Datos!L12,Datos!L12+Datos!AB12)),IF(J_V="SI",Datos!L12,Datos!L12+Datos!AB12)," - ")</f>
        <v>2441</v>
      </c>
      <c r="J12" s="404">
        <f>IF(ISNUMBER(I12/B12),I12/B12," - ")</f>
        <v>813.66666666666663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2423</v>
      </c>
      <c r="D13" s="850" t="str">
        <f>IF(ISNUMBER(C13/Datos!BI13),C13/Datos!BI13," - ")</f>
        <v xml:space="preserve"> - </v>
      </c>
      <c r="E13" s="849">
        <f>SUBTOTAL(9,E8:E12)</f>
        <v>597</v>
      </c>
      <c r="F13" s="850">
        <f>IF(ISNUMBER(E13/B13),E13/B13," - ")</f>
        <v>199</v>
      </c>
      <c r="G13" s="849">
        <f>SUBTOTAL(9,G8:G12)</f>
        <v>535</v>
      </c>
      <c r="H13" s="850">
        <f>IF(ISNUMBER(G13/B13),G13/B13," - ")</f>
        <v>178.33333333333334</v>
      </c>
      <c r="I13" s="849">
        <f>SUBTOTAL(9,I8:I12)</f>
        <v>2485</v>
      </c>
      <c r="J13" s="850">
        <f>IF(ISNUMBER(I13/B13),I13/B13," - ")</f>
        <v>828.33333333333337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1507</v>
      </c>
      <c r="D16" s="404">
        <f>IF(ISNUMBER(C16/Datos!BH16),C16/Datos!BH16," - ")</f>
        <v>502.33333333333331</v>
      </c>
      <c r="E16" s="403">
        <f>IF(ISNUMBER(IF(D_I="SI",Datos!J16,Datos!J16+Datos!AD16)),IF(D_I="SI",Datos!J16,Datos!J16+Datos!AD16)," - ")</f>
        <v>568</v>
      </c>
      <c r="F16" s="404">
        <f>IF(ISNUMBER(E16/B16),E16/B16," - ")</f>
        <v>189.33333333333334</v>
      </c>
      <c r="G16" s="403">
        <f>IF(ISNUMBER(IF(D_I="SI",Datos!K16,Datos!K16+Datos!AE16)),IF(D_I="SI",Datos!K16,Datos!K16+Datos!AE16)," - ")</f>
        <v>620</v>
      </c>
      <c r="H16" s="404">
        <f>IF(ISNUMBER(G16/B16),G16/B16," - ")</f>
        <v>206.66666666666666</v>
      </c>
      <c r="I16" s="403">
        <f>IF(ISNUMBER(IF(D_I="SI",Datos!L16,Datos!L16+Datos!AF16)),IF(D_I="SI",Datos!L16,Datos!L16+Datos!AF16)," - ")</f>
        <v>1455</v>
      </c>
      <c r="J16" s="404">
        <f>IF(ISNUMBER(I16/B16),I16/B16," - ")</f>
        <v>485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163</v>
      </c>
      <c r="D17" s="404">
        <f>IF(ISNUMBER(C17/Datos!BH17),C17/Datos!BH17," - ")</f>
        <v>163</v>
      </c>
      <c r="E17" s="403">
        <f>IF(ISNUMBER(IF(D_I="SI",Datos!J17,Datos!J17+Datos!AD17)),IF(D_I="SI",Datos!J17,Datos!J17+Datos!AD17)," - ")</f>
        <v>59</v>
      </c>
      <c r="F17" s="404">
        <f>IF(ISNUMBER(E17/B17),E17/B17," - ")</f>
        <v>59</v>
      </c>
      <c r="G17" s="403">
        <f>IF(ISNUMBER(IF(D_I="SI",Datos!K17,Datos!K17+Datos!AE17)),IF(D_I="SI",Datos!K17,Datos!K17+Datos!AE17)," - ")</f>
        <v>39</v>
      </c>
      <c r="H17" s="404">
        <f>IF(ISNUMBER(G17/B17),G17/B17," - ")</f>
        <v>39</v>
      </c>
      <c r="I17" s="403">
        <f>IF(ISNUMBER(IF(D_I="SI",Datos!L17,Datos!L17+Datos!AF17)),IF(D_I="SI",Datos!L17,Datos!L17+Datos!AF17)," - ")</f>
        <v>183</v>
      </c>
      <c r="J17" s="404">
        <f>IF(ISNUMBER(I17/B17),I17/B17," - ")</f>
        <v>183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1670</v>
      </c>
      <c r="D18" s="850" t="str">
        <f>IF(ISNUMBER(C18/Datos!BI18),C18/Datos!BI18," - ")</f>
        <v xml:space="preserve"> - </v>
      </c>
      <c r="E18" s="849">
        <f>SUBTOTAL(9,E14:E17)</f>
        <v>627</v>
      </c>
      <c r="F18" s="850">
        <f>IF(ISNUMBER(E18/B18),E18/B18," - ")</f>
        <v>209</v>
      </c>
      <c r="G18" s="849">
        <f>SUBTOTAL(9,G14:G17)</f>
        <v>659</v>
      </c>
      <c r="H18" s="850">
        <f>IF(ISNUMBER(G18/B18),G18/B18," - ")</f>
        <v>219.66666666666666</v>
      </c>
      <c r="I18" s="849">
        <f>SUBTOTAL(9,I14:I17)</f>
        <v>1638</v>
      </c>
      <c r="J18" s="850">
        <f>IF(ISNUMBER(I18/B18),I18/B18," - ")</f>
        <v>546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4093</v>
      </c>
      <c r="D19" s="795" t="str">
        <f>IF(ISNUMBER(C19/Datos!BI19),C19/Datos!BI19," - ")</f>
        <v xml:space="preserve"> - </v>
      </c>
      <c r="E19" s="794">
        <f>SUBTOTAL(9,E9:E18)</f>
        <v>1224</v>
      </c>
      <c r="F19" s="795">
        <f>IF(ISNUMBER(E19/B19),E19/B19," - ")</f>
        <v>408</v>
      </c>
      <c r="G19" s="794">
        <f>SUBTOTAL(9,G9:G18)</f>
        <v>1194</v>
      </c>
      <c r="H19" s="795">
        <f>IF(ISNUMBER(G19/B19),G19/B19," - ")</f>
        <v>398</v>
      </c>
      <c r="I19" s="794">
        <f>SUBTOTAL(9,I9:I18)</f>
        <v>4123</v>
      </c>
      <c r="J19" s="795">
        <f>IF(ISNUMBER(I19/B19),I19/B19," - ")</f>
        <v>1374.3333333333333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jrJ/OD1iJMFKNEZu9+RYpluR8JZ1JX9ciw0YE/C6BmJPyStravHOgyUG+OKhT6nI0PcPuv+MlzLUunPN73tdfA==" saltValue="KJ7xwiLqfSFxVKKoj+m5R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ALMENDRALEJO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43</v>
      </c>
      <c r="G10" s="684">
        <f>IF(ISNUMBER(Datos!I10),Datos!I10," - ")</f>
        <v>43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14</v>
      </c>
      <c r="AC10" s="683" t="str">
        <f>IF(ISNUMBER(IF(D_I="SI",DatosP!K17,DatosP!K17+DatosP!AE17)),IF(D_I="SI",DatosP!K17,DatosP!K17+DatosP!AE17)," - ")</f>
        <v xml:space="preserve"> - </v>
      </c>
      <c r="AD10" s="685"/>
      <c r="AE10" s="685"/>
      <c r="AF10" s="688">
        <f>IF(ISNUMBER(Datos!L10),Datos!L10,"-")</f>
        <v>44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9.4285714285714288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406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2841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184</v>
      </c>
      <c r="AM12" s="690">
        <f>IF(ISNUMBER(Datos!N12+DatosP!N16),Datos!N12+DatosP!N16," - ")</f>
        <v>134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14.055662188099809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-8.6788813886210223E-2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43</v>
      </c>
      <c r="G13" s="938">
        <f t="shared" si="0"/>
        <v>43</v>
      </c>
      <c r="H13" s="938">
        <f t="shared" si="0"/>
        <v>0</v>
      </c>
      <c r="I13" s="940">
        <f t="shared" si="0"/>
        <v>0</v>
      </c>
      <c r="J13" s="939">
        <f t="shared" si="0"/>
        <v>0</v>
      </c>
      <c r="K13" s="939">
        <f t="shared" si="0"/>
        <v>0</v>
      </c>
      <c r="L13" s="941">
        <f t="shared" si="0"/>
        <v>0</v>
      </c>
      <c r="M13" s="941">
        <f t="shared" si="0"/>
        <v>0</v>
      </c>
      <c r="N13" s="939">
        <f t="shared" si="0"/>
        <v>139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14</v>
      </c>
      <c r="AC13" s="939">
        <f t="shared" si="1"/>
        <v>0</v>
      </c>
      <c r="AD13" s="939">
        <f t="shared" si="1"/>
        <v>406</v>
      </c>
      <c r="AE13" s="939">
        <f t="shared" si="1"/>
        <v>0</v>
      </c>
      <c r="AF13" s="939">
        <f t="shared" si="1"/>
        <v>44</v>
      </c>
      <c r="AG13" s="939">
        <f t="shared" si="1"/>
        <v>0</v>
      </c>
      <c r="AH13" s="939">
        <f t="shared" si="1"/>
        <v>2841</v>
      </c>
      <c r="AI13" s="939">
        <f t="shared" si="1"/>
        <v>0</v>
      </c>
      <c r="AJ13" s="939">
        <f t="shared" si="1"/>
        <v>0</v>
      </c>
      <c r="AK13" s="939">
        <f t="shared" si="1"/>
        <v>0</v>
      </c>
      <c r="AL13" s="939">
        <f t="shared" si="1"/>
        <v>184</v>
      </c>
      <c r="AM13" s="939">
        <f t="shared" si="1"/>
        <v>138</v>
      </c>
      <c r="AN13" s="939">
        <f t="shared" si="1"/>
        <v>0</v>
      </c>
      <c r="AO13" s="939">
        <f t="shared" si="1"/>
        <v>0</v>
      </c>
      <c r="AP13" s="944">
        <f>IF(ISNUMBER(((Datos!L13/Datos!K13)*11)/factor_trimestre),((Datos!L13/Datos!K13)*11)/factor_trimestre," - ")</f>
        <v>14.166990291262136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-0.32558139534883723</v>
      </c>
      <c r="AU13" s="939" t="str">
        <f>IF(ISNUMBER((DatosP!#REF!-DatosP!#REF!+DatosP!#REF!)/(DatosP!#REF!+DatosP!#REF!-DatosP!#REF!-DatosP!#REF!)),(DatosP!#REF!-DatosP!#REF!+DatosP!#REF!)/(DatosP!#REF!+DatosP!#REF!-DatosP!#REF!-DatosP!#REF!)," - ")</f>
        <v xml:space="preserve"> - </v>
      </c>
      <c r="AV13" s="945">
        <f>SUBTOTAL(9,AV9:AV12)</f>
        <v>-8.6788813886210223E-2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7.4567526555386943</v>
      </c>
      <c r="AQ18" s="944">
        <f>IF(ISNUMBER(((Datos!M18/Datos!L18)*11)/factor_trimestre),((Datos!M18/Datos!L18)*11)/factor_trimestre," - ")</f>
        <v>0.11355311355311355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0.10169491525423729</v>
      </c>
      <c r="AW18" s="946">
        <f>IF(ISNUMBER((Datos!Q18-Datos!R18)/(Datos!S18-Datos!Q18+Datos!R18)),(Datos!Q18-Datos!R18)/(Datos!S18-Datos!Q18+Datos!R18)," - ")</f>
        <v>-9.5167286245353158E-2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43</v>
      </c>
      <c r="G19" s="951">
        <f t="shared" si="4"/>
        <v>43</v>
      </c>
      <c r="H19" s="951">
        <f t="shared" si="4"/>
        <v>0</v>
      </c>
      <c r="I19" s="952">
        <f t="shared" si="4"/>
        <v>0</v>
      </c>
      <c r="J19" s="953">
        <f t="shared" si="4"/>
        <v>0</v>
      </c>
      <c r="K19" s="953">
        <f t="shared" si="4"/>
        <v>0</v>
      </c>
      <c r="L19" s="953">
        <f t="shared" si="4"/>
        <v>0</v>
      </c>
      <c r="M19" s="953">
        <f t="shared" si="4"/>
        <v>0</v>
      </c>
      <c r="N19" s="952">
        <f t="shared" si="4"/>
        <v>139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14</v>
      </c>
      <c r="AC19" s="957">
        <f t="shared" si="5"/>
        <v>0</v>
      </c>
      <c r="AD19" s="957">
        <f t="shared" si="5"/>
        <v>406</v>
      </c>
      <c r="AE19" s="957">
        <f t="shared" si="5"/>
        <v>0</v>
      </c>
      <c r="AF19" s="958">
        <f t="shared" si="5"/>
        <v>44</v>
      </c>
      <c r="AG19" s="958">
        <f t="shared" si="5"/>
        <v>0</v>
      </c>
      <c r="AH19" s="958">
        <f t="shared" si="5"/>
        <v>2841</v>
      </c>
      <c r="AI19" s="958">
        <f t="shared" si="5"/>
        <v>0</v>
      </c>
      <c r="AJ19" s="959">
        <f t="shared" si="5"/>
        <v>0</v>
      </c>
      <c r="AK19" s="959">
        <f t="shared" si="5"/>
        <v>0</v>
      </c>
      <c r="AL19" s="951">
        <f t="shared" si="5"/>
        <v>184</v>
      </c>
      <c r="AM19" s="951">
        <f t="shared" si="5"/>
        <v>138</v>
      </c>
      <c r="AN19" s="951">
        <f t="shared" si="5"/>
        <v>0</v>
      </c>
      <c r="AO19" s="951">
        <f t="shared" si="5"/>
        <v>0</v>
      </c>
      <c r="AP19" s="951">
        <f>IF(ISNUMBER(((Datos!L19/Datos!K19)*11)/factor_trimestre),((Datos!L19/Datos!K19)*11)/factor_trimestre," - ")</f>
        <v>10.400340715502557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-0.32558139534883723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-7.8800988875154507E-2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28.666666666666668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24.826061575153908</v>
      </c>
      <c r="G21" s="737">
        <f>IF(ISNUMBER(STDEV(G8:G18)),STDEV(G8:G18),"-")</f>
        <v>24.826061575153908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8.0829037686547611</v>
      </c>
      <c r="AC21" s="738">
        <f>IF(ISNUMBER(STDEV(AC8:AC18)),STDEV(AC8:AC18),"-")</f>
        <v>0</v>
      </c>
      <c r="AD21" s="741"/>
      <c r="AE21" s="741"/>
      <c r="AF21" s="741"/>
      <c r="AG21" s="741"/>
      <c r="AH21" s="741"/>
      <c r="AI21" s="741"/>
      <c r="AJ21" s="742">
        <f>IF(ISNUMBER(STDEV(AJ8:AJ18)),STDEV(AJ8:AJ18),"-")</f>
        <v>0</v>
      </c>
      <c r="AK21" s="744"/>
      <c r="AL21" s="736">
        <f>IF(ISNUMBER(STDEV(AL8:AL18)),STDEV(AL8:AL18),"-")</f>
        <v>106.23244953089115</v>
      </c>
      <c r="AM21" s="736"/>
      <c r="AN21" s="736">
        <f>IF(ISNUMBER(STDEV(AN8:AN18)),STDEV(AN8:AN18),"-")</f>
        <v>0</v>
      </c>
      <c r="AO21" s="742">
        <f>IF(ISNUMBER(STDEV(AO8:AO18)),STDEV(AO8:AO18),"-")</f>
        <v>0</v>
      </c>
      <c r="AP21" s="779">
        <f>IF(ISNUMBER(STDEV(AP8:AP18)),STDEV(AP8:AP18),"-")</f>
        <v>3.370656978274154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lMTFbwAfofTbR7/Q7tJMHO9aWlXEt3m6qZJRBmCB2PE0xgeAMmMSG8AqHf55U9q9wKn+FjQvKeYsPDGqQlWahA==" saltValue="fAZLhGTZJe4snDnQCFptf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ALMENDRALEJO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stPmmkVmZmmucHa/MQv1umOLh5j1Iq+V+JX/zY8tEQji5CKJoFxLo107R4X0Cn92Av5AX3CWBcb2Nsm7QSuHeA==" saltValue="VkQPPXRQnUjjcv3Q0oRcQ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ALMENDRALEJO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4</v>
      </c>
      <c r="G10" s="404">
        <f>IF(ISNUMBER(F10/B10),F10/B10," - ")</f>
        <v>4</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184</v>
      </c>
      <c r="E12" s="404">
        <f t="shared" si="0"/>
        <v>61.333333333333336</v>
      </c>
      <c r="F12" s="403">
        <f>IF(ISNUMBER(Datos!N12),Datos!N12," - ")</f>
        <v>134</v>
      </c>
      <c r="G12" s="404">
        <f t="shared" si="1"/>
        <v>44.666666666666664</v>
      </c>
      <c r="H12" s="403">
        <f>IF(ISNUMBER(Datos!O12),Datos!O12," - ")</f>
        <v>223</v>
      </c>
      <c r="I12" s="404">
        <f t="shared" si="2"/>
        <v>74.333333333333329</v>
      </c>
      <c r="BZ12" s="1186">
        <f>Datos!EZ12</f>
        <v>0</v>
      </c>
    </row>
    <row r="13" spans="1:78" ht="14.25" thickTop="1" thickBot="1">
      <c r="A13" s="848" t="str">
        <f>Datos!A13</f>
        <v>TOTAL</v>
      </c>
      <c r="B13" s="849">
        <f>Datos!AP13</f>
        <v>3</v>
      </c>
      <c r="C13" s="851">
        <f>Datos!AR13</f>
        <v>3</v>
      </c>
      <c r="D13" s="849">
        <f>SUBTOTAL(9,D9:D12)</f>
        <v>184</v>
      </c>
      <c r="E13" s="850">
        <f t="shared" si="0"/>
        <v>61.333333333333336</v>
      </c>
      <c r="F13" s="849">
        <f>SUBTOTAL(9,F9:F12)</f>
        <v>138</v>
      </c>
      <c r="G13" s="850">
        <f t="shared" si="1"/>
        <v>46</v>
      </c>
      <c r="H13" s="849">
        <f>SUBTOTAL(9,H9:H12)</f>
        <v>223</v>
      </c>
      <c r="I13" s="850">
        <f>IF(ISNUMBER(H13/B13),H13/B13," - ")</f>
        <v>74.333333333333329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53</v>
      </c>
      <c r="E16" s="404">
        <f t="shared" si="3"/>
        <v>17.666666666666668</v>
      </c>
      <c r="F16" s="403">
        <f>IF(ISNUMBER(Datos!N16),Datos!N16," - ")</f>
        <v>394</v>
      </c>
      <c r="G16" s="404">
        <f t="shared" si="4"/>
        <v>131.33333333333334</v>
      </c>
      <c r="H16" s="403">
        <f>IF(ISNUMBER(Datos!O16),Datos!O16," - ")</f>
        <v>1</v>
      </c>
      <c r="I16" s="404">
        <f t="shared" si="5"/>
        <v>0.33333333333333331</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23</v>
      </c>
      <c r="G17" s="404">
        <f>IF(ISNUMBER(F17/B17),F17/B17," - ")</f>
        <v>23</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62</v>
      </c>
      <c r="E18" s="850">
        <f t="shared" si="3"/>
        <v>20.666666666666668</v>
      </c>
      <c r="F18" s="849">
        <f>SUBTOTAL(9,F15:F17)</f>
        <v>417</v>
      </c>
      <c r="G18" s="850">
        <f t="shared" si="4"/>
        <v>139</v>
      </c>
      <c r="H18" s="849">
        <f>SUBTOTAL(9,H15:H17)</f>
        <v>1</v>
      </c>
      <c r="I18" s="850">
        <f>IF(ISNUMBER(H18/B18),H18/B18," - ")</f>
        <v>0.33333333333333331</v>
      </c>
      <c r="BZ18" s="1186"/>
    </row>
    <row r="19" spans="1:78" ht="14.25" thickTop="1" thickBot="1">
      <c r="A19" s="793" t="str">
        <f>Datos!A19</f>
        <v>TOTAL JURISDICCIONES</v>
      </c>
      <c r="B19" s="794">
        <f>Datos!AP19</f>
        <v>3</v>
      </c>
      <c r="C19" s="794">
        <f>Datos!AR19</f>
        <v>3</v>
      </c>
      <c r="D19" s="794">
        <f>SUBTOTAL(9,D8:D18)</f>
        <v>246</v>
      </c>
      <c r="E19" s="795">
        <f>IF(ISNUMBER(D19/B19),D19/B19," - ")</f>
        <v>82</v>
      </c>
      <c r="F19" s="794">
        <f>SUBTOTAL(9,F8:F18)</f>
        <v>555</v>
      </c>
      <c r="G19" s="795">
        <f>IF(ISNUMBER(F19/B19),F19/B19," - ")</f>
        <v>185</v>
      </c>
      <c r="H19" s="794">
        <f>SUBTOTAL(9,H8:H18)</f>
        <v>224</v>
      </c>
      <c r="I19" s="795">
        <f>IF(ISNUMBER(H19/B19),H19/B19," - ")</f>
        <v>74.666666666666671</v>
      </c>
    </row>
    <row r="22" spans="1:78">
      <c r="A22" s="391" t="str">
        <f>Criterios!A4</f>
        <v>Fecha Informe: 27 feb. 2025</v>
      </c>
    </row>
    <row r="27" spans="1:78">
      <c r="A27" s="414"/>
    </row>
  </sheetData>
  <sheetProtection algorithmName="SHA-512" hashValue="sOXprS4ydNd+VzdNBIVnXaqXWWTjO0mkVx7fefeWyhGsir2EoKC0aTKhzRPZ6tLEbrQvb+MjlKWw3TqJPeeVEQ==" saltValue="DvXIFyXHIyDUVCDv0HJpT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ALMENDRALEJO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136</v>
      </c>
      <c r="C12" s="434">
        <f>IF(ISNUMBER(Datos!Q12),Datos!Q12," - ")</f>
        <v>406</v>
      </c>
      <c r="D12" s="408">
        <f>IF(ISNUMBER(Datos!R12),Datos!R12," - ")</f>
        <v>2841</v>
      </c>
    </row>
    <row r="13" spans="1:4" ht="14.25" thickTop="1" thickBot="1">
      <c r="A13" s="848" t="str">
        <f>Datos!A13</f>
        <v>TOTAL</v>
      </c>
      <c r="B13" s="849">
        <f>SUBTOTAL(9,B9:B12)</f>
        <v>139</v>
      </c>
      <c r="C13" s="853">
        <f>SUBTOTAL(9,C9:C12)</f>
        <v>406</v>
      </c>
      <c r="D13" s="851">
        <f>SUBTOTAL(9,D9:D12)</f>
        <v>2851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v>
      </c>
      <c r="C16" s="434">
        <f>IF(ISNUMBER(Datos!Q16),Datos!Q16," - ")</f>
        <v>1</v>
      </c>
      <c r="D16" s="408">
        <f>IF(ISNUMBER(Datos!R16),Datos!R16," - ")</f>
        <v>123</v>
      </c>
    </row>
    <row r="17" spans="1:4" ht="13.5" thickBot="1">
      <c r="A17" s="402" t="str">
        <f>Datos!A17</f>
        <v>Jdos. Violencia contra la mujer</v>
      </c>
      <c r="B17" s="433">
        <f>IF(ISNUMBER(Datos!P17),Datos!P17," - ")</f>
        <v>2</v>
      </c>
      <c r="C17" s="434">
        <f>IF(ISNUMBER(Datos!Q17),Datos!Q17," - ")</f>
        <v>1</v>
      </c>
      <c r="D17" s="408">
        <f>IF(ISNUMBER(Datos!R17),Datos!R17," - ")</f>
        <v>7</v>
      </c>
    </row>
    <row r="18" spans="1:4" ht="14.25" thickTop="1" thickBot="1">
      <c r="A18" s="848" t="str">
        <f>Datos!A18</f>
        <v>TOTAL</v>
      </c>
      <c r="B18" s="849">
        <f>SUBTOTAL(9,B15:B17)</f>
        <v>14</v>
      </c>
      <c r="C18" s="853">
        <f>SUBTOTAL(9,C15:C17)</f>
        <v>2</v>
      </c>
      <c r="D18" s="851">
        <f>SUBTOTAL(9,D15:D17)</f>
        <v>130</v>
      </c>
    </row>
    <row r="19" spans="1:4" ht="16.5" customHeight="1" thickTop="1" thickBot="1">
      <c r="A19" s="793" t="str">
        <f>Datos!A19</f>
        <v>TOTAL JURISDICCIONES</v>
      </c>
      <c r="B19" s="798">
        <f>SUBTOTAL(9,B8:B18)</f>
        <v>153</v>
      </c>
      <c r="C19" s="799">
        <f>SUBTOTAL(9,C8:C18)</f>
        <v>408</v>
      </c>
      <c r="D19" s="800">
        <f>SUBTOTAL(9,D8:D18)</f>
        <v>2981</v>
      </c>
    </row>
    <row r="20" spans="1:4" ht="7.5" customHeight="1"/>
    <row r="21" spans="1:4" ht="6" customHeight="1"/>
    <row r="22" spans="1:4">
      <c r="A22" s="391" t="str">
        <f>Criterios!A4</f>
        <v>Fecha Informe: 27 feb. 2025</v>
      </c>
    </row>
    <row r="27" spans="1:4">
      <c r="A27" s="414"/>
    </row>
  </sheetData>
  <sheetProtection algorithmName="SHA-512" hashValue="dydC1g3+qb+04STkstHkwmigtguT0AU8rHCNfbkYOctoJQPqzVwGGQIEXhnJDcf1ARAv9XTeZSVdv+n+YWN65g==" saltValue="gWdlgGrcuhAD1DJ0Nz0Kt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ALMENDRALEJO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0.48275862068965519</v>
      </c>
      <c r="C10" s="456">
        <f>IF(ISNUMBER((Datos!J10-Datos!T10)/Datos!T10),(Datos!J10-Datos!T10)/Datos!T10," - ")</f>
        <v>0.5</v>
      </c>
      <c r="D10" s="456">
        <f>IF(ISNUMBER((Datos!K10-Datos!U10)/Datos!U10),(Datos!K10-Datos!U10)/Datos!U10," - ")</f>
        <v>1.3333333333333333</v>
      </c>
      <c r="E10" s="456">
        <f>IF(ISNUMBER((Datos!L10-Datos!V10)/Datos!V10),(Datos!L10-Datos!V10)/Datos!V10," - ")</f>
        <v>0.33333333333333331</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0.55555555555555569</v>
      </c>
      <c r="I10" s="456">
        <f>IF(ISNUMBER(((NºAsuntos!I10/NºAsuntos!G10)-Datos!BE10)/Datos!BE10),((NºAsuntos!I10/NºAsuntos!G10)-Datos!BE10)/Datos!BE10," - ")</f>
        <v>-0.4285714285714286</v>
      </c>
      <c r="J10" s="461">
        <f>IF(ISNUMBER((('Resol  Asuntos'!D10/NºAsuntos!G10)-Datos!BF10)/Datos!BF10),(('Resol  Asuntos'!D10/NºAsuntos!G10)-Datos!BF10)/Datos!BF10," - ")</f>
        <v>-1</v>
      </c>
      <c r="K10" s="462">
        <f>IF(ISNUMBER((((NºAsuntos!C10+NºAsuntos!E10)/NºAsuntos!G10)-Datos!BG10)/Datos!BG10),(((NºAsuntos!C10+NºAsuntos!E10)/NºAsuntos!G10)-Datos!BG10)/Datos!BG10," - ")</f>
        <v>-0.36263736263736257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0.28025820333512641</v>
      </c>
      <c r="C12" s="456">
        <f>IF(ISNUMBER(
   IF(J_V="SI",(Datos!J12-Datos!T12)/Datos!T12,(Datos!J12+Datos!Z12-(Datos!T12+Datos!AH12))/(Datos!T12+Datos!AH12))
     ),IF(J_V="SI",(Datos!J12-Datos!T12)/Datos!T12,(Datos!J12+Datos!Z12-(Datos!T12+Datos!AH12))/(Datos!T12+Datos!AH12))," - ")</f>
        <v>-0.13004484304932734</v>
      </c>
      <c r="D12" s="456">
        <f>IF(ISNUMBER(
   IF(J_V="SI",(Datos!K12-Datos!U12)/Datos!U12,(Datos!K12+Datos!AA12-(Datos!U12+Datos!AI12))/(Datos!U12+Datos!AI12))
     ),IF(J_V="SI",(Datos!K12-Datos!U12)/Datos!U12,(Datos!K12+Datos!AA12-(Datos!U12+Datos!AI12))/(Datos!U12+Datos!AI12))," - ")</f>
        <v>-7.7876106194690264E-2</v>
      </c>
      <c r="E12" s="456">
        <f>IF(ISNUMBER(
   IF(J_V="SI",(Datos!L12-Datos!V12)/Datos!V12,(Datos!L12+Datos!AB12-(Datos!V12+Datos!AJ12))/(Datos!V12+Datos!AJ12))
     ),IF(J_V="SI",(Datos!L12-Datos!V12)/Datos!V12,(Datos!L12+Datos!AB12-(Datos!V12+Datos!AJ12))/(Datos!V12+Datos!AJ12))," - ")</f>
        <v>0.26871101871101871</v>
      </c>
      <c r="F12" s="456">
        <f>IF(ISNUMBER((Datos!M12-Datos!W12)/Datos!W12),(Datos!M12-Datos!W12)/Datos!W12," - ")</f>
        <v>0.4263565891472868</v>
      </c>
      <c r="G12" s="457">
        <f>IF(ISNUMBER((Datos!N12-Datos!X12)/Datos!X12),(Datos!N12-Datos!X12)/Datos!X12," - ")</f>
        <v>-0.30208333333333331</v>
      </c>
      <c r="H12" s="455">
        <f>IF(ISNUMBER(((NºAsuntos!G12/NºAsuntos!E12)-Datos!BD12)/Datos!BD12),((NºAsuntos!G12/NºAsuntos!E12)-Datos!BD12)/Datos!BD12," - ")</f>
        <v>5.9967156281361289E-2</v>
      </c>
      <c r="I12" s="456">
        <f>IF(ISNUMBER(((NºAsuntos!I12/NºAsuntos!G12)-Datos!BE12)/Datos!BE12),((NºAsuntos!I12/NºAsuntos!G12)-Datos!BE12)/Datos!BE12," - ")</f>
        <v>0.37585743871732369</v>
      </c>
      <c r="J12" s="461">
        <f>IF(ISNUMBER((('Resol  Asuntos'!D12/NºAsuntos!G12)-Datos!BF12)/Datos!BF12),(('Resol  Asuntos'!D12/NºAsuntos!G12)-Datos!BF12)/Datos!BF12," - ")</f>
        <v>3.926743442098523E-2</v>
      </c>
      <c r="K12" s="462">
        <f>IF(ISNUMBER((((NºAsuntos!C12+NºAsuntos!E12)/NºAsuntos!G12)-Datos!BG12)/Datos!BG12),(((NºAsuntos!C12+NºAsuntos!E12)/NºAsuntos!G12)-Datos!BG12)/Datos!BG12," - ")</f>
        <v>0.27062884180859587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0.2833686440677966</v>
      </c>
      <c r="C13" s="855">
        <f>IF(ISNUMBER(
   IF(J_V="SI",(Datos!J13-Datos!T13)/Datos!T13,(Datos!J13+Datos!Z13-(Datos!T13+Datos!AH13))/(Datos!T13+Datos!AH13))
     ),IF(J_V="SI",(Datos!J13-Datos!T13)/Datos!T13,(Datos!J13+Datos!Z13-(Datos!T13+Datos!AH13))/(Datos!T13+Datos!AH13))," - ")</f>
        <v>-0.12076583210603829</v>
      </c>
      <c r="D13" s="855">
        <f>IF(ISNUMBER(
   IF(J_V="SI",(Datos!K13-Datos!U13)/Datos!U13,(Datos!K13+Datos!AA13-(Datos!U13+Datos!AI13))/(Datos!U13+Datos!AI13))
     ),IF(J_V="SI",(Datos!K13-Datos!U13)/Datos!U13,(Datos!K13+Datos!AA13-(Datos!U13+Datos!AI13))/(Datos!U13+Datos!AI13))," - ")</f>
        <v>-6.3047285464098074E-2</v>
      </c>
      <c r="E13" s="855">
        <f>IF(ISNUMBER(
   IF(J_V="SI",(Datos!L13-Datos!V13)/Datos!V13,(Datos!L13+Datos!AB13-(Datos!V13+Datos!AJ13))/(Datos!V13+Datos!AJ13))
     ),IF(J_V="SI",(Datos!L13-Datos!V13)/Datos!V13,(Datos!L13+Datos!AB13-(Datos!V13+Datos!AJ13))/(Datos!V13+Datos!AJ13))," - ")</f>
        <v>0.26980071538068473</v>
      </c>
      <c r="F13" s="856">
        <f>IF(ISNUMBER((Datos!M13-Datos!W13)/Datos!W13),(Datos!M13-Datos!W13)/Datos!W13," - ")</f>
        <v>0.40458015267175573</v>
      </c>
      <c r="G13" s="857">
        <f>IF(ISNUMBER((Datos!N13-Datos!X13)/Datos!X13),(Datos!N13-Datos!X13)/Datos!X13," - ")</f>
        <v>-0.28125</v>
      </c>
      <c r="H13" s="857">
        <f>IF(ISNUMBER(((NºAsuntos!G13/NºAsuntos!E13)-Datos!BD13)/Datos!BD13),((NºAsuntos!G13/NºAsuntos!E13)-Datos!BD13)/Datos!BD13," - ")</f>
        <v>6.5646387219225166E-2</v>
      </c>
      <c r="I13" s="857">
        <f>IF(ISNUMBER(((NºAsuntos!I13/NºAsuntos!G13)-Datos!BE13)/Datos!BE13),((NºAsuntos!I13/NºAsuntos!G13)-Datos!BE13)/Datos!BE13," - ")</f>
        <v>0.35524524949975894</v>
      </c>
      <c r="J13" s="857">
        <f>IF(ISNUMBER((('Resol  Asuntos'!D13/NºAsuntos!G13)-Datos!BF13)/Datos!BF13),(('Resol  Asuntos'!D13/NºAsuntos!G13)-Datos!BF13)/Datos!BF13," - ")</f>
        <v>1.2274785624819345E-2</v>
      </c>
      <c r="K13" s="857">
        <f>IF(ISNUMBER((((NºAsuntos!C13+NºAsuntos!E13)/NºAsuntos!G13)-Datos!BG13)/Datos!BG13),(((NºAsuntos!C13+NºAsuntos!E13)/NºAsuntos!G13)-Datos!BG13)/Datos!BG13," - ")</f>
        <v>0.25563496426608034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0.36380090497737555</v>
      </c>
      <c r="C16" s="456">
        <f>IF(ISNUMBER(
   IF(D_I="SI",(Datos!J16-Datos!T16)/Datos!T16,(Datos!J16+Datos!AD16-(Datos!T16+Datos!AL16))/(Datos!T16+Datos!AL16))
     ),IF(D_I="SI",(Datos!J16-Datos!T16)/Datos!T16,(Datos!J16+Datos!AD16-(Datos!T16+Datos!AL16))/(Datos!T16+Datos!AL16))," - ")</f>
        <v>0.29090909090909089</v>
      </c>
      <c r="D16" s="456">
        <f>IF(ISNUMBER(
   IF(D_I="SI",(Datos!K16-Datos!U16)/Datos!U16,(Datos!K16+Datos!AE16-(Datos!U16+Datos!AM16))/(Datos!U16+Datos!AM16))
     ),IF(D_I="SI",(Datos!K16-Datos!U16)/Datos!U16,(Datos!K16+Datos!AE16-(Datos!U16+Datos!AM16))/(Datos!U16+Datos!AM16))," - ")</f>
        <v>0.44186046511627908</v>
      </c>
      <c r="E16" s="456">
        <f>IF(ISNUMBER(
   IF(D_I="SI",(Datos!L16-Datos!V16)/Datos!V16,(Datos!L16+Datos!AF16-(Datos!V16+Datos!AN16))/(Datos!V16+Datos!AN16))
     ),IF(D_I="SI",(Datos!L16-Datos!V16)/Datos!V16,(Datos!L16+Datos!AF16-(Datos!V16+Datos!AN16))/(Datos!V16+Datos!AN16))," - ")</f>
        <v>0.29103815439219166</v>
      </c>
      <c r="F16" s="456">
        <f>IF(ISNUMBER((Datos!M16-Datos!W16)/Datos!W16),(Datos!M16-Datos!W16)/Datos!W16," - ")</f>
        <v>-0.32911392405063289</v>
      </c>
      <c r="G16" s="457">
        <f>IF(ISNUMBER((Datos!N16-Datos!X16)/Datos!X16),(Datos!N16-Datos!X16)/Datos!X16," - ")</f>
        <v>0.82407407407407407</v>
      </c>
      <c r="H16" s="455">
        <f>IF(ISNUMBER(((NºAsuntos!G16/NºAsuntos!E16)-Datos!BD16)/Datos!BD16),((NºAsuntos!G16/NºAsuntos!E16)-Datos!BD16)/Datos!BD16," - ")</f>
        <v>0.11693416311824444</v>
      </c>
      <c r="I16" s="456">
        <f>IF(ISNUMBER(((NºAsuntos!I16/NºAsuntos!G16)-Datos!BE16)/Datos!BE16),((NºAsuntos!I16/NºAsuntos!G16)-Datos!BE16)/Datos!BE16," - ")</f>
        <v>-0.10460257034089931</v>
      </c>
      <c r="J16" s="461">
        <f>IF(ISNUMBER((('Resol  Asuntos'!D16/NºAsuntos!G16)-Datos!BF16)/Datos!BF16),(('Resol  Asuntos'!D16/NºAsuntos!G16)-Datos!BF16)/Datos!BF16," - ")</f>
        <v>-0.53470804409963257</v>
      </c>
      <c r="K16" s="462">
        <f>IF(ISNUMBER((((NºAsuntos!C16+NºAsuntos!E16)/NºAsuntos!G16)-Datos!BG16)/Datos!BG16),(((NºAsuntos!C16+NºAsuntos!E16)/NºAsuntos!G16)-Datos!BG16)/Datos!BG16," - ")</f>
        <v>-6.8535337717924694E-2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0.45535714285714285</v>
      </c>
      <c r="C17" s="456">
        <f>IF(ISNUMBER(
   IF(D_I="SI",(Datos!J17-Datos!T17)/Datos!T17,(Datos!J17+Datos!AD17-(Datos!T17+Datos!AL17))/(Datos!T17+Datos!AL17))
     ),IF(D_I="SI",(Datos!J17-Datos!T17)/Datos!T17,(Datos!J17+Datos!AD17-(Datos!T17+Datos!AL17))/(Datos!T17+Datos!AL17))," - ")</f>
        <v>0.18</v>
      </c>
      <c r="D17" s="456">
        <f>IF(ISNUMBER(
   IF(D_I="SI",(Datos!K17-Datos!U17)/Datos!U17,(Datos!K17+Datos!AE17-(Datos!U17+Datos!AM17))/(Datos!U17+Datos!AM17))
     ),IF(D_I="SI",(Datos!K17-Datos!U17)/Datos!U17,(Datos!K17+Datos!AE17-(Datos!U17+Datos!AM17))/(Datos!U17+Datos!AM17))," - ")</f>
        <v>5.4054054054054057E-2</v>
      </c>
      <c r="E17" s="456">
        <f>IF(ISNUMBER(
   IF(D_I="SI",(Datos!L17-Datos!V17)/Datos!V17,(Datos!L17+Datos!AF17-(Datos!V17+Datos!AN17))/(Datos!V17+Datos!AN17))
     ),IF(D_I="SI",(Datos!L17-Datos!V17)/Datos!V17,(Datos!L17+Datos!AF17-(Datos!V17+Datos!AN17))/(Datos!V17+Datos!AN17))," - ")</f>
        <v>0.46400000000000002</v>
      </c>
      <c r="F17" s="456">
        <f>IF(ISNUMBER((Datos!M17-Datos!W17)/Datos!W17),(Datos!M17-Datos!W17)/Datos!W17," - ")</f>
        <v>1.25</v>
      </c>
      <c r="G17" s="457">
        <f>IF(ISNUMBER((Datos!N17-Datos!X17)/Datos!X17),(Datos!N17-Datos!X17)/Datos!X17," - ")</f>
        <v>0.35294117647058826</v>
      </c>
      <c r="H17" s="455">
        <f>IF(ISNUMBER(((NºAsuntos!G17/NºAsuntos!E17)-Datos!BD17)/Datos!BD17),((NºAsuntos!G17/NºAsuntos!E17)-Datos!BD17)/Datos!BD17," - ")</f>
        <v>-0.10673385249656434</v>
      </c>
      <c r="I17" s="456">
        <f>IF(ISNUMBER(((NºAsuntos!I17/NºAsuntos!G17)-Datos!BE17)/Datos!BE17),((NºAsuntos!I17/NºAsuntos!G17)-Datos!BE17)/Datos!BE17," - ")</f>
        <v>0.38892307692307693</v>
      </c>
      <c r="J17" s="461">
        <f>IF(ISNUMBER((('Resol  Asuntos'!D17/NºAsuntos!G17)-Datos!BF17)/Datos!BF17),(('Resol  Asuntos'!D17/NºAsuntos!G17)-Datos!BF17)/Datos!BF17," - ")</f>
        <v>1.1346153846153846</v>
      </c>
      <c r="K17" s="462">
        <f>IF(ISNUMBER((((NºAsuntos!C17+NºAsuntos!E17)/NºAsuntos!G17)-Datos!BG17)/Datos!BG17),(((NºAsuntos!C17+NºAsuntos!E17)/NºAsuntos!G17)-Datos!BG17)/Datos!BG17," - ")</f>
        <v>0.30009496676163355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0.37222678718159408</v>
      </c>
      <c r="C18" s="855">
        <f>IF(ISNUMBER(
   IF(Criterios!B14="SI",(Datos!J18-Datos!T18)/Datos!T18,(Datos!J18+Datos!AD18-(Datos!T18+Datos!AL18))/(Datos!T18+Datos!AL18))
     ),IF(Criterios!B14="SI",(Datos!J18-Datos!T18)/Datos!T18,(Datos!J18+Datos!AD18-(Datos!T18+Datos!AL18))/(Datos!T18+Datos!AL18))," - ")</f>
        <v>0.2795918367346939</v>
      </c>
      <c r="D18" s="855">
        <f>IF(ISNUMBER(
   IF(Criterios!B14="SI",(Datos!K18-Datos!U18)/Datos!U18,(Datos!K18+Datos!AE18-(Datos!U18+Datos!AM18))/(Datos!U18+Datos!AM18))
     ),IF(Criterios!B14="SI",(Datos!K18-Datos!U18)/Datos!U18,(Datos!K18+Datos!AE18-(Datos!U18+Datos!AM18))/(Datos!U18+Datos!AM18))," - ")</f>
        <v>0.41113490364025695</v>
      </c>
      <c r="E18" s="855">
        <f>IF(ISNUMBER(
   IF(Criterios!B14="SI",(Datos!L18-Datos!V18)/Datos!V18,(Datos!L18+Datos!AF18-(Datos!V18+Datos!AN18))/(Datos!V18+Datos!AN18))
     ),IF(Criterios!B14="SI",(Datos!L18-Datos!V18)/Datos!V18,(Datos!L18+Datos!AF18-(Datos!V18+Datos!AN18))/(Datos!V18+Datos!AN18))," - ")</f>
        <v>0.30830670926517573</v>
      </c>
      <c r="F18" s="856">
        <f>IF(ISNUMBER((Datos!M18-Datos!W18)/Datos!W18),(Datos!M18-Datos!W18)/Datos!W18," - ")</f>
        <v>-0.25301204819277107</v>
      </c>
      <c r="G18" s="857">
        <f>IF(ISNUMBER((Datos!N18-Datos!X18)/Datos!X18),(Datos!N18-Datos!X18)/Datos!X18," - ")</f>
        <v>0.78969957081545061</v>
      </c>
      <c r="H18" s="857">
        <f>IF(ISNUMBER(((NºAsuntos!G18/NºAsuntos!E18)-Datos!BD18)/Datos!BD18),((NºAsuntos!G18/NºAsuntos!E18)-Datos!BD18)/Datos!BD18," - ")</f>
        <v>0.10280080188792001</v>
      </c>
      <c r="I18" s="857">
        <f>IF(ISNUMBER(((NºAsuntos!I18/NºAsuntos!G18)-Datos!BE18)/Datos!BE18),((NºAsuntos!I18/NºAsuntos!G18)-Datos!BE18)/Datos!BE18," - ")</f>
        <v>-7.2869145331051474E-2</v>
      </c>
      <c r="J18" s="857">
        <f>IF(ISNUMBER((('Resol  Asuntos'!D18/NºAsuntos!G18)-Datos!BF18)/Datos!BF18),(('Resol  Asuntos'!D18/NºAsuntos!G18)-Datos!BF18)/Datos!BF18," - ")</f>
        <v>-0.47064738468288936</v>
      </c>
      <c r="K18" s="857">
        <f>IF(ISNUMBER((((NºAsuntos!C18+NºAsuntos!E18)/NºAsuntos!G18)-Datos!BG18)/Datos!BG18),(((NºAsuntos!C18+NºAsuntos!E18)/NºAsuntos!G18)-Datos!BG18)/Datos!BG18," - ")</f>
        <v>-4.6416033951070038E-2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0.31819645732689211</v>
      </c>
      <c r="C19" s="802">
        <f>IF(ISNUMBER(
   IF(J_V="SI",(Datos!J19-Datos!T19)/Datos!T19,(Datos!J19+Datos!Z19-(Datos!T19+Datos!AH19))/(Datos!T19+Datos!AH19))
     ),IF(J_V="SI",(Datos!J19-Datos!T19)/Datos!T19,(Datos!J19+Datos!Z19-(Datos!T19+Datos!AH19))/(Datos!T19+Datos!AH19))," - ")</f>
        <v>4.7048759623609923E-2</v>
      </c>
      <c r="D19" s="802">
        <f>IF(ISNUMBER(
   IF(J_V="SI",(Datos!K19-Datos!U19)/Datos!U19,(Datos!K19+Datos!AA19-(Datos!U19+Datos!AI19))/(Datos!U19+Datos!AI19))
     ),IF(J_V="SI",(Datos!K19-Datos!U19)/Datos!U19,(Datos!K19+Datos!AA19-(Datos!U19+Datos!AI19))/(Datos!U19+Datos!AI19))," - ")</f>
        <v>0.15028901734104047</v>
      </c>
      <c r="E19" s="802">
        <f>IF(ISNUMBER(
   IF(J_V="SI",(Datos!L19-Datos!V19)/Datos!V19,(Datos!L19+Datos!AB19-(Datos!V19+Datos!AJ19))/(Datos!V19+Datos!AJ19))
     ),IF(J_V="SI",(Datos!L19-Datos!V19)/Datos!V19,(Datos!L19+Datos!AB19-(Datos!V19+Datos!AJ19))/(Datos!V19+Datos!AJ19))," - ")</f>
        <v>0.28482393268931133</v>
      </c>
      <c r="F19" s="803">
        <f>IF(ISNUMBER((Datos!M19-Datos!W19)/Datos!W19),(Datos!M19-Datos!W19)/Datos!W19," - ")</f>
        <v>0.14953271028037382</v>
      </c>
      <c r="G19" s="804">
        <f>IF(ISNUMBER((Datos!N19-Datos!X19)/Datos!X19),(Datos!N19-Datos!X19)/Datos!X19," - ")</f>
        <v>0.30588235294117649</v>
      </c>
      <c r="H19" s="805">
        <f>IF(ISNUMBER((Tasas!B19-Datos!BD19)/Datos!BD19),(Tasas!B19-Datos!BD19)/Datos!BD19," - ")</f>
        <v>9.8601193849408644E-2</v>
      </c>
      <c r="I19" s="806">
        <f>IF(ISNUMBER((Tasas!C19-Datos!BE19)/Datos!BE19),(Tasas!C19-Datos!BE19)/Datos!BE19," - ")</f>
        <v>0.11695748922236621</v>
      </c>
      <c r="J19" s="807">
        <f>IF(ISNUMBER((Tasas!D19-Datos!BF19)/Datos!BF19),(Tasas!D19-Datos!BF19)/Datos!BF19," - ")</f>
        <v>-0.22794477804183366</v>
      </c>
      <c r="K19" s="807">
        <f>IF(ISNUMBER((Tasas!E19-Datos!BG19)/Datos!BG19),(Tasas!E19-Datos!BG19)/Datos!BG19," - ")</f>
        <v>8.149662679330183E-2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2NlZ/bosIa+WZY8Lceg+Jj3uwlXI52LtwhX18F/VG3zJRbJyi4bBJJGzGmwQlqRbWO0Dp0T2LneXEhb/6Bjzw==" saltValue="y3Ghmw7EK81p98pAdR+/v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ALMENDRALEJO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0.93333333333333335</v>
      </c>
      <c r="C10" s="443">
        <f>IF(ISNUMBER(NºAsuntos!I10/NºAsuntos!G10),NºAsuntos!I10/NºAsuntos!G10," - ")</f>
        <v>3.1428571428571428</v>
      </c>
      <c r="D10" s="444">
        <f>IF(ISNUMBER('Resol  Asuntos'!D10/NºAsuntos!G10),'Resol  Asuntos'!D10/NºAsuntos!G10," - ")</f>
        <v>0</v>
      </c>
      <c r="E10" s="445">
        <f>IF(ISNUMBER((NºAsuntos!C10+NºAsuntos!E10)/NºAsuntos!G10),(NºAsuntos!C10+NºAsuntos!E10)/NºAsuntos!G10," - ")</f>
        <v>4.1428571428571432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0.89518900343642616</v>
      </c>
      <c r="C12" s="443">
        <f>IF(ISNUMBER(NºAsuntos!I12/NºAsuntos!G12),NºAsuntos!I12/NºAsuntos!G12," - ")</f>
        <v>4.6852207293666028</v>
      </c>
      <c r="D12" s="444">
        <f>IF(ISNUMBER('Resol  Asuntos'!D12/NºAsuntos!G12),'Resol  Asuntos'!D12/NºAsuntos!G12," - ")</f>
        <v>0.3531669865642994</v>
      </c>
      <c r="E12" s="445">
        <f>IF(ISNUMBER((NºAsuntos!C12+NºAsuntos!E12)/NºAsuntos!G12),(NºAsuntos!C12+NºAsuntos!E12)/NºAsuntos!G12," - ")</f>
        <v>5.6852207293666028</v>
      </c>
      <c r="G12" s="463"/>
    </row>
    <row r="13" spans="1:7" ht="14.25" thickTop="1" thickBot="1">
      <c r="A13" s="848" t="str">
        <f>Datos!A13</f>
        <v>TOTAL</v>
      </c>
      <c r="B13" s="858">
        <f>IF(ISNUMBER(NºAsuntos!G13/NºAsuntos!E13),NºAsuntos!G13/NºAsuntos!E13," - ")</f>
        <v>0.89614740368509216</v>
      </c>
      <c r="C13" s="859">
        <f>IF(ISNUMBER(NºAsuntos!I13/NºAsuntos!G13),NºAsuntos!I13/NºAsuntos!G13," - ")</f>
        <v>4.6448598130841123</v>
      </c>
      <c r="D13" s="860">
        <f>IF(ISNUMBER('Resol  Asuntos'!D13/NºAsuntos!G13),'Resol  Asuntos'!D13/NºAsuntos!G13," - ")</f>
        <v>0.34392523364485983</v>
      </c>
      <c r="E13" s="861">
        <f>IF(ISNUMBER((NºAsuntos!C13+NºAsuntos!E13)/NºAsuntos!G13),(NºAsuntos!C13+NºAsuntos!E13)/NºAsuntos!G13," - ")</f>
        <v>5.6448598130841123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1.091549295774648</v>
      </c>
      <c r="C16" s="443">
        <f>IF(ISNUMBER(NºAsuntos!I16/NºAsuntos!G16),NºAsuntos!I16/NºAsuntos!G16," - ")</f>
        <v>2.346774193548387</v>
      </c>
      <c r="D16" s="444">
        <f>IF(ISNUMBER('Resol  Asuntos'!D16/NºAsuntos!G16),'Resol  Asuntos'!D16/NºAsuntos!G16," - ")</f>
        <v>8.5483870967741932E-2</v>
      </c>
      <c r="E16" s="445">
        <f>IF(ISNUMBER((NºAsuntos!C16+NºAsuntos!E16)/NºAsuntos!G16),(NºAsuntos!C16+NºAsuntos!E16)/NºAsuntos!G16," - ")</f>
        <v>3.346774193548387</v>
      </c>
      <c r="G16" s="463"/>
    </row>
    <row r="17" spans="1:7" ht="13.5" thickBot="1">
      <c r="A17" s="402" t="str">
        <f>Datos!A17</f>
        <v>Jdos. Violencia contra la mujer</v>
      </c>
      <c r="B17" s="442">
        <f>IF(ISNUMBER(NºAsuntos!G17/NºAsuntos!E17),NºAsuntos!G17/NºAsuntos!E17," - ")</f>
        <v>0.66101694915254239</v>
      </c>
      <c r="C17" s="443">
        <f>IF(ISNUMBER(NºAsuntos!I17/NºAsuntos!G17),NºAsuntos!I17/NºAsuntos!G17," - ")</f>
        <v>4.6923076923076925</v>
      </c>
      <c r="D17" s="444">
        <f>IF(ISNUMBER('Resol  Asuntos'!D17/NºAsuntos!G17),'Resol  Asuntos'!D17/NºAsuntos!G17," - ")</f>
        <v>0.23076923076923078</v>
      </c>
      <c r="E17" s="445">
        <f>IF(ISNUMBER((NºAsuntos!C17+NºAsuntos!E17)/NºAsuntos!G17),(NºAsuntos!C17+NºAsuntos!E17)/NºAsuntos!G17," - ")</f>
        <v>5.6923076923076925</v>
      </c>
      <c r="G17" s="463"/>
    </row>
    <row r="18" spans="1:7" ht="14.25" thickTop="1" thickBot="1">
      <c r="A18" s="848" t="str">
        <f>Datos!A18</f>
        <v>TOTAL</v>
      </c>
      <c r="B18" s="858">
        <f>IF(ISNUMBER(NºAsuntos!G18/NºAsuntos!E18),NºAsuntos!G18/NºAsuntos!E18," - ")</f>
        <v>1.0510366826156299</v>
      </c>
      <c r="C18" s="859">
        <f>IF(ISNUMBER(NºAsuntos!I18/NºAsuntos!G18),NºAsuntos!I18/NºAsuntos!G18," - ")</f>
        <v>2.4855842185128982</v>
      </c>
      <c r="D18" s="862">
        <f>IF(ISNUMBER('Resol  Asuntos'!D18/NºAsuntos!G18),'Resol  Asuntos'!D18/NºAsuntos!G18," - ")</f>
        <v>9.4081942336874058E-2</v>
      </c>
      <c r="E18" s="861">
        <f>IF(ISNUMBER((NºAsuntos!C18+NºAsuntos!E18)/NºAsuntos!G18),(NºAsuntos!C18+NºAsuntos!E18)/NºAsuntos!G18," - ")</f>
        <v>3.4855842185128982</v>
      </c>
      <c r="G18" s="463"/>
    </row>
    <row r="19" spans="1:7" ht="15.75" customHeight="1" thickTop="1" thickBot="1">
      <c r="A19" s="793" t="str">
        <f>Datos!A19</f>
        <v>TOTAL JURISDICCIONES</v>
      </c>
      <c r="B19" s="808">
        <f>IF(ISNUMBER(NºAsuntos!G19/NºAsuntos!E19),NºAsuntos!G19/NºAsuntos!E19," - ")</f>
        <v>0.97549019607843135</v>
      </c>
      <c r="C19" s="809">
        <f>IF(ISNUMBER(NºAsuntos!I19/NºAsuntos!G19),NºAsuntos!I19/NºAsuntos!G19," - ")</f>
        <v>3.4530988274706869</v>
      </c>
      <c r="D19" s="810">
        <f>IF(ISNUMBER('Resol  Asuntos'!D19/NºAsuntos!G19),'Resol  Asuntos'!D19/NºAsuntos!G19," - ")</f>
        <v>0.20603015075376885</v>
      </c>
      <c r="E19" s="811">
        <f>IF(ISNUMBER((NºAsuntos!C19+NºAsuntos!E19)/NºAsuntos!G19),(NºAsuntos!C19+NºAsuntos!E19)/NºAsuntos!G19," - ")</f>
        <v>4.4530988274706864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6M+FOfwK5Yyw7jozt2YuU6QgWkHF/9jOyl+Mln1jp06gedmGVhpCTaWQQlbIoKKgsQfAkdwHeClrNiGpqvQdg==" saltValue="VZ+pobhVra9ycO3NMSYrw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ALMENDRALEJO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43</v>
      </c>
      <c r="G10" s="333">
        <f>IF(ISNUMBER(Datos!I10),Datos!I10," - ")</f>
        <v>43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14</v>
      </c>
      <c r="X10" s="226">
        <f>IF(ISNUMBER(Datos!Q10),Datos!Q10," - ")</f>
        <v>0</v>
      </c>
      <c r="Y10" s="334">
        <f t="shared" ref="Y10:Y12" si="0">SUM(W10:X10)</f>
        <v>14</v>
      </c>
      <c r="Z10" s="335" t="str">
        <f>IF(ISNUMBER(Datos!CC10),Datos!CC10," - ")</f>
        <v xml:space="preserve"> - </v>
      </c>
      <c r="AA10" s="332">
        <f>IF(ISNUMBER(Datos!L10),Datos!L10,"-")</f>
        <v>44</v>
      </c>
      <c r="AB10" s="334">
        <f>IF(ISNUMBER(Datos!R10),Datos!R10," - ")</f>
        <v>10</v>
      </c>
      <c r="AC10" s="334">
        <f t="shared" ref="AC10:AC12" si="1">IF(ISNUMBER(AA10+AB10),AA10+AB10," - ")</f>
        <v>54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0.93333333333333335</v>
      </c>
      <c r="AM10" s="260">
        <f>IF(ISNUMBER(((NºAsuntos!I10/NºAsuntos!G10)*11)/factor_trimestre),((NºAsuntos!I10/NºAsuntos!G10)*11)/factor_trimestre," - ")</f>
        <v>9.4285714285714288</v>
      </c>
      <c r="AN10" s="244">
        <f>IF(ISNUMBER('Resol  Asuntos'!D10/NºAsuntos!G10),'Resol  Asuntos'!D10/NºAsuntos!G10," - ")</f>
        <v>0</v>
      </c>
      <c r="AO10" s="245">
        <f>IF(ISNUMBER((NºAsuntos!C10+NºAsuntos!E10)/NºAsuntos!G10),(NºAsuntos!C10+NºAsuntos!E10)/NºAsuntos!G10," - ")</f>
        <v>4.1428571428571432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406</v>
      </c>
      <c r="Y12" s="334">
        <f t="shared" si="0"/>
        <v>406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2841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184</v>
      </c>
      <c r="AJ12" s="229" t="str">
        <f>IF(ISNUMBER(Datos!BW12),Datos!BW12," - ")</f>
        <v xml:space="preserve"> - </v>
      </c>
      <c r="AK12" s="228" t="str">
        <f>IF(ISNUMBER(Datos!BX12),Datos!BX12," - ")</f>
        <v xml:space="preserve"> - </v>
      </c>
      <c r="AL12" s="243">
        <f>IF(ISNUMBER(NºAsuntos!G12/NºAsuntos!E12),NºAsuntos!G12/NºAsuntos!E12," - ")</f>
        <v>0.89518900343642616</v>
      </c>
      <c r="AM12" s="260">
        <f>IF(ISNUMBER(((NºAsuntos!I12/NºAsuntos!G12)*11)/factor_trimestre),((NºAsuntos!I12/NºAsuntos!G12)*11)/factor_trimestre," - ")</f>
        <v>14.055662188099809</v>
      </c>
      <c r="AN12" s="244">
        <f>IF(ISNUMBER('Resol  Asuntos'!D12/NºAsuntos!G12),'Resol  Asuntos'!D12/NºAsuntos!G12," - ")</f>
        <v>0.3531669865642994</v>
      </c>
      <c r="AO12" s="245">
        <f>IF(ISNUMBER((NºAsuntos!C12+NºAsuntos!E12)/NºAsuntos!G12),(NºAsuntos!C12+NºAsuntos!E12)/NºAsuntos!G12," - ")</f>
        <v>5.6852207293666028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43</v>
      </c>
      <c r="G13" s="866">
        <f t="shared" si="3"/>
        <v>43</v>
      </c>
      <c r="H13" s="865">
        <f t="shared" si="3"/>
        <v>0</v>
      </c>
      <c r="I13" s="867">
        <f t="shared" si="3"/>
        <v>0</v>
      </c>
      <c r="J13" s="867">
        <f t="shared" si="3"/>
        <v>0</v>
      </c>
      <c r="K13" s="867">
        <f t="shared" si="3"/>
        <v>0</v>
      </c>
      <c r="L13" s="867">
        <f t="shared" si="3"/>
        <v>139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14</v>
      </c>
      <c r="X13" s="867">
        <f t="shared" si="4"/>
        <v>406</v>
      </c>
      <c r="Y13" s="868">
        <f t="shared" si="4"/>
        <v>420</v>
      </c>
      <c r="Z13" s="868">
        <f t="shared" si="4"/>
        <v>0</v>
      </c>
      <c r="AA13" s="868">
        <f t="shared" si="4"/>
        <v>44</v>
      </c>
      <c r="AB13" s="868">
        <f t="shared" si="4"/>
        <v>2851</v>
      </c>
      <c r="AC13" s="868">
        <f t="shared" si="4"/>
        <v>54</v>
      </c>
      <c r="AD13" s="868">
        <f t="shared" si="4"/>
        <v>0</v>
      </c>
      <c r="AE13" s="872">
        <f t="shared" si="4"/>
        <v>0</v>
      </c>
      <c r="AF13" s="865">
        <f t="shared" si="4"/>
        <v>0</v>
      </c>
      <c r="AG13" s="873">
        <f t="shared" si="4"/>
        <v>0</v>
      </c>
      <c r="AH13" s="870">
        <f t="shared" si="4"/>
        <v>0</v>
      </c>
      <c r="AI13" s="865">
        <f t="shared" si="4"/>
        <v>184</v>
      </c>
      <c r="AJ13" s="867">
        <f t="shared" si="4"/>
        <v>0</v>
      </c>
      <c r="AK13" s="870">
        <f>SUBTOTAL(9,AK9:AK12)</f>
        <v>0</v>
      </c>
      <c r="AL13" s="874">
        <f>IF(ISNUMBER(NºAsuntos!G13/NºAsuntos!E13),NºAsuntos!G13/NºAsuntos!E13," - ")</f>
        <v>0.89614740368509216</v>
      </c>
      <c r="AM13" s="874">
        <f>IF(ISNUMBER(((NºAsuntos!I13/NºAsuntos!G13)*11)/factor_trimestre),((NºAsuntos!I13/NºAsuntos!G13)*11)/factor_trimestre," - ")</f>
        <v>13.934579439252339</v>
      </c>
      <c r="AN13" s="875">
        <f>IF(ISNUMBER('Resol  Asuntos'!D13/NºAsuntos!G13),'Resol  Asuntos'!D13/NºAsuntos!G13," - ")</f>
        <v>0.34392523364485983</v>
      </c>
      <c r="AO13" s="876">
        <f>IF(ISNUMBER((NºAsuntos!C13+NºAsuntos!E13)/NºAsuntos!G13),(NºAsuntos!C13+NºAsuntos!E13)/NºAsuntos!G13," - ")</f>
        <v>5.6448598130841123</v>
      </c>
      <c r="AP13" s="877" t="str">
        <f t="shared" si="2"/>
        <v xml:space="preserve"> - </v>
      </c>
      <c r="AQ13" s="877">
        <f>IF(ISNUMBER((H13-W13+K13)/(F13)),(H13-W13+K13)/(F13)," - ")</f>
        <v>-0.32558139534883723</v>
      </c>
      <c r="AR13" s="878">
        <f>IF(ISNUMBER((Datos!P13-Datos!Q13)/(Datos!R13-Datos!P13+Datos!Q13)),(Datos!P13-Datos!Q13)/(Datos!R13-Datos!P13+Datos!Q13)," - ")</f>
        <v>-8.5631815266196273E-2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1507</v>
      </c>
      <c r="G16" s="333">
        <f>IF(ISNUMBER(IF(D_I="SI",Datos!I16,Datos!I16+Datos!AC16)),IF(D_I="SI",Datos!I16,Datos!I16+Datos!AC16)," - ")</f>
        <v>1507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620</v>
      </c>
      <c r="X16" s="226">
        <f>IF(ISNUMBER(Datos!Q16),Datos!Q16," - ")</f>
        <v>1</v>
      </c>
      <c r="Y16" s="334">
        <f t="shared" ref="Y16:Y17" si="7">SUM(W16:X16)</f>
        <v>621</v>
      </c>
      <c r="Z16" s="335" t="str">
        <f>IF(ISNUMBER(Datos!CC16),Datos!CC16," - ")</f>
        <v xml:space="preserve"> - </v>
      </c>
      <c r="AA16" s="332">
        <f>IF(ISNUMBER(IF(D_I="SI",Datos!L16,Datos!L16+Datos!AF16)),IF(D_I="SI",Datos!L16,Datos!L16+Datos!AF16)," - ")</f>
        <v>1455</v>
      </c>
      <c r="AB16" s="334">
        <f>IF(ISNUMBER(Datos!R16),Datos!R16," - ")</f>
        <v>123</v>
      </c>
      <c r="AC16" s="334">
        <f t="shared" si="6"/>
        <v>1578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53</v>
      </c>
      <c r="AJ16" s="231" t="str">
        <f>IF(ISNUMBER(Datos!BW16),Datos!BW16," - ")</f>
        <v xml:space="preserve"> - </v>
      </c>
      <c r="AK16" s="232" t="str">
        <f>IF(ISNUMBER(Datos!BX16),Datos!BX16," - ")</f>
        <v xml:space="preserve"> - </v>
      </c>
      <c r="AL16" s="243">
        <f>IF(ISNUMBER(NºAsuntos!G16/NºAsuntos!E16),NºAsuntos!G16/NºAsuntos!E16," - ")</f>
        <v>1.091549295774648</v>
      </c>
      <c r="AM16" s="260">
        <f>IF(ISNUMBER(((NºAsuntos!I16/NºAsuntos!G16)*11)/factor_trimestre),((NºAsuntos!I16/NºAsuntos!G16)*11)/factor_trimestre," - ")</f>
        <v>7.040322580645161</v>
      </c>
      <c r="AN16" s="244">
        <f>IF(ISNUMBER('Resol  Asuntos'!D16/NºAsuntos!G16),'Resol  Asuntos'!D16/NºAsuntos!G16," - ")</f>
        <v>8.5483870967741932E-2</v>
      </c>
      <c r="AO16" s="245">
        <f>IF(ISNUMBER((NºAsuntos!C16+NºAsuntos!E16)/NºAsuntos!G16),(NºAsuntos!C16+NºAsuntos!E16)/NºAsuntos!G16," - ")</f>
        <v>3.346774193548387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39</v>
      </c>
      <c r="X17" s="226">
        <f>IF(ISNUMBER(Datos!Q17),Datos!Q17," - ")</f>
        <v>1</v>
      </c>
      <c r="Y17" s="334">
        <f t="shared" si="7"/>
        <v>40</v>
      </c>
      <c r="Z17" s="335" t="str">
        <f>IF(ISNUMBER(Datos!CC17),Datos!CC17," - ")</f>
        <v xml:space="preserve"> - </v>
      </c>
      <c r="AA17" s="332">
        <f>IF(ISNUMBER(Datos!L17),Datos!L17,"-")</f>
        <v>183</v>
      </c>
      <c r="AB17" s="334">
        <f>IF(ISNUMBER(Datos!R17),Datos!R17," - ")</f>
        <v>7</v>
      </c>
      <c r="AC17" s="334">
        <f t="shared" si="6"/>
        <v>190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0.66101694915254239</v>
      </c>
      <c r="AM17" s="260">
        <f>IF(ISNUMBER(((NºAsuntos!I17/NºAsuntos!G17)*11)/factor_trimestre),((NºAsuntos!I17/NºAsuntos!G17)*11)/factor_trimestre," - ")</f>
        <v>14.076923076923078</v>
      </c>
      <c r="AN17" s="244">
        <f>IF(ISNUMBER('Resol  Asuntos'!D17/NºAsuntos!G17),'Resol  Asuntos'!D17/NºAsuntos!G17," - ")</f>
        <v>0.23076923076923078</v>
      </c>
      <c r="AO17" s="245">
        <f>IF(ISNUMBER((NºAsuntos!C17+NºAsuntos!E17)/NºAsuntos!G17),(NºAsuntos!C17+NºAsuntos!E17)/NºAsuntos!G17," - ")</f>
        <v>5.6923076923076925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1507</v>
      </c>
      <c r="G18" s="866">
        <f>SUBTOTAL(9,G15:G17)</f>
        <v>1670</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659</v>
      </c>
      <c r="X18" s="867">
        <f t="shared" si="11"/>
        <v>2</v>
      </c>
      <c r="Y18" s="868">
        <f t="shared" si="11"/>
        <v>661</v>
      </c>
      <c r="Z18" s="868">
        <f t="shared" si="11"/>
        <v>0</v>
      </c>
      <c r="AA18" s="868">
        <f t="shared" si="11"/>
        <v>1638</v>
      </c>
      <c r="AB18" s="868">
        <f t="shared" si="11"/>
        <v>130</v>
      </c>
      <c r="AC18" s="868">
        <f t="shared" si="11"/>
        <v>1768</v>
      </c>
      <c r="AD18" s="868">
        <f t="shared" si="11"/>
        <v>0</v>
      </c>
      <c r="AE18" s="872">
        <f t="shared" si="11"/>
        <v>0</v>
      </c>
      <c r="AF18" s="865">
        <f t="shared" si="11"/>
        <v>0</v>
      </c>
      <c r="AG18" s="873">
        <f t="shared" si="11"/>
        <v>0</v>
      </c>
      <c r="AH18" s="870">
        <f t="shared" si="11"/>
        <v>0</v>
      </c>
      <c r="AI18" s="865">
        <f t="shared" si="11"/>
        <v>62</v>
      </c>
      <c r="AJ18" s="867">
        <f t="shared" si="11"/>
        <v>0</v>
      </c>
      <c r="AK18" s="870">
        <f t="shared" si="11"/>
        <v>0</v>
      </c>
      <c r="AL18" s="874">
        <f>IF(ISNUMBER(NºAsuntos!G18/NºAsuntos!E18),NºAsuntos!G18/NºAsuntos!E18," - ")</f>
        <v>1.0510366826156299</v>
      </c>
      <c r="AM18" s="874">
        <f>IF(ISNUMBER(((NºAsuntos!I18/NºAsuntos!G18)*11)/factor_trimestre),((NºAsuntos!I18/NºAsuntos!G18)*11)/factor_trimestre," - ")</f>
        <v>7.4567526555386943</v>
      </c>
      <c r="AN18" s="875">
        <f>IF(ISNUMBER('Resol  Asuntos'!D18/NºAsuntos!G18),'Resol  Asuntos'!D18/NºAsuntos!G18," - ")</f>
        <v>9.4081942336874058E-2</v>
      </c>
      <c r="AO18" s="876">
        <f>IF(ISNUMBER((NºAsuntos!C18+NºAsuntos!E18)/NºAsuntos!G18),(NºAsuntos!C18+NºAsuntos!E18)/NºAsuntos!G18," - ")</f>
        <v>3.4855842185128982</v>
      </c>
      <c r="AP18" s="877" t="str">
        <f t="shared" si="2"/>
        <v xml:space="preserve"> - </v>
      </c>
      <c r="AQ18" s="877">
        <f>IF(ISNUMBER((H18-W18+K18)/(F18)),(H18-W18+K18)/(F18)," - ")</f>
        <v>-0.43729263437292637</v>
      </c>
      <c r="AR18" s="878">
        <f>IF(ISNUMBER((Datos!P18-Datos!Q18)/(Datos!R18-Datos!P18+Datos!Q18)),(Datos!P18-Datos!Q18)/(Datos!R18-Datos!P18+Datos!Q18)," - ")</f>
        <v>0.10169491525423729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1550</v>
      </c>
      <c r="G19" s="821">
        <f t="shared" si="13"/>
        <v>1713</v>
      </c>
      <c r="H19" s="820">
        <f t="shared" si="13"/>
        <v>0</v>
      </c>
      <c r="I19" s="822">
        <f t="shared" si="13"/>
        <v>0</v>
      </c>
      <c r="J19" s="822">
        <f t="shared" si="13"/>
        <v>0</v>
      </c>
      <c r="K19" s="881">
        <f t="shared" si="13"/>
        <v>0</v>
      </c>
      <c r="L19" s="822">
        <f t="shared" si="13"/>
        <v>153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673</v>
      </c>
      <c r="X19" s="821">
        <f t="shared" si="14"/>
        <v>408</v>
      </c>
      <c r="Y19" s="828">
        <f t="shared" si="14"/>
        <v>1081</v>
      </c>
      <c r="Z19" s="828">
        <f t="shared" si="14"/>
        <v>0</v>
      </c>
      <c r="AA19" s="828">
        <f t="shared" si="14"/>
        <v>1682</v>
      </c>
      <c r="AB19" s="828">
        <f t="shared" si="14"/>
        <v>2981</v>
      </c>
      <c r="AC19" s="828">
        <f t="shared" si="14"/>
        <v>1822</v>
      </c>
      <c r="AD19" s="828">
        <f t="shared" si="14"/>
        <v>0</v>
      </c>
      <c r="AE19" s="830">
        <f t="shared" si="14"/>
        <v>0</v>
      </c>
      <c r="AF19" s="831">
        <f t="shared" si="14"/>
        <v>0</v>
      </c>
      <c r="AG19" s="832">
        <f t="shared" si="14"/>
        <v>0</v>
      </c>
      <c r="AH19" s="830">
        <f t="shared" si="14"/>
        <v>0</v>
      </c>
      <c r="AI19" s="820">
        <f t="shared" si="14"/>
        <v>246</v>
      </c>
      <c r="AJ19" s="820">
        <f t="shared" si="14"/>
        <v>0</v>
      </c>
      <c r="AK19" s="830">
        <f t="shared" si="14"/>
        <v>0</v>
      </c>
      <c r="AL19" s="884">
        <f>IF(ISNUMBER(NºAsuntos!G19/NºAsuntos!E19),NºAsuntos!G19/NºAsuntos!E19," - ")</f>
        <v>0.97549019607843135</v>
      </c>
      <c r="AM19" s="885">
        <f>IF(ISNUMBER(((NºAsuntos!I19/NºAsuntos!G19)*11)/factor_trimestre),((NºAsuntos!I19/NºAsuntos!G19)*11)/factor_trimestre," - ")</f>
        <v>10.359296482412061</v>
      </c>
      <c r="AN19" s="885">
        <f>IF(ISNUMBER('Resol  Asuntos'!D19/NºAsuntos!G19),'Resol  Asuntos'!D19/NºAsuntos!G19," - ")</f>
        <v>0.20603015075376885</v>
      </c>
      <c r="AO19" s="886">
        <f>IF(ISNUMBER((NºAsuntos!C19+NºAsuntos!E19)/NºAsuntos!G19),(NºAsuntos!C19+NºAsuntos!E19)/NºAsuntos!G19," - ")</f>
        <v>4.4530988274706864</v>
      </c>
      <c r="AP19" s="887" t="str">
        <f t="shared" si="2"/>
        <v xml:space="preserve"> - </v>
      </c>
      <c r="AQ19" s="888">
        <f>IF(OR(ISNUMBER(FIND("01",Criterios!A8,1)),ISNUMBER(FIND("02",Criterios!A8,1)),ISNUMBER(FIND("03",Criterios!A8,1)),ISNUMBER(FIND("04",Criterios!A8,1))),(I19-W19+K19)/(F19-K19),(H19-W19+K19)/(F19-K19))</f>
        <v>-0.43419354838709678</v>
      </c>
      <c r="AR19" s="889">
        <f>IF(ISNUMBER((Datos!P19-Datos!Q19)/(Datos!R19-Datos!P19+Datos!Q19)),(Datos!P19-Datos!Q19)/(Datos!R19-Datos!P19+Datos!Q19)," - ")</f>
        <v>-7.8800988875154507E-2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685.2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845.24079409361207</v>
      </c>
      <c r="G21" s="253">
        <f>IF(ISNUMBER(STDEV(G8:G18)),STDEV(G8:G18),"-")</f>
        <v>828.05808974974696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338.47112136783545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82.585713050139603</v>
      </c>
      <c r="AJ21" s="252">
        <f t="shared" si="18"/>
        <v>0</v>
      </c>
      <c r="AK21" s="254">
        <f t="shared" si="18"/>
        <v>0</v>
      </c>
      <c r="AL21" s="249">
        <f t="shared" si="18"/>
        <v>0.15167260609914249</v>
      </c>
      <c r="AM21" s="250">
        <f t="shared" si="18"/>
        <v>3.4093785259520271</v>
      </c>
      <c r="AN21" s="250">
        <f t="shared" si="18"/>
        <v>0.14698682779738226</v>
      </c>
      <c r="AO21" s="251">
        <f t="shared" si="18"/>
        <v>1.1364595086506732</v>
      </c>
      <c r="AP21" s="291" t="str">
        <f t="shared" si="18"/>
        <v>-</v>
      </c>
      <c r="AQ21" s="292">
        <f t="shared" si="18"/>
        <v>7.8991774648684857E-2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WNijyjQ/dduPcgRZAzvwJdwZgv7+CF534BQm+efUtrYRWJmCET7dyb6g7JwJMBewitNrKJ3YOdHJEA18BwrIRg==" saltValue="SB92YDhg/FuU4QBYuANcn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ALMENDRALEJO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0.48275862068965519</v>
      </c>
      <c r="E10" s="348">
        <f>IF(ISNUMBER((Datos!J10-Datos!T10)/Datos!T10),(Datos!J10-Datos!T10)/Datos!T10," - ")</f>
        <v>0.5</v>
      </c>
      <c r="F10" s="348">
        <f>IF(ISNUMBER((Datos!K10-Datos!U10)/Datos!U10),(Datos!K10-Datos!U10)/Datos!U10," - ")</f>
        <v>1.3333333333333333</v>
      </c>
      <c r="G10" s="349">
        <f>IF(ISNUMBER((Datos!L10-Datos!V10)/Datos!V10),(Datos!L10-Datos!V10)/Datos!V10," - ")</f>
        <v>0.33333333333333331</v>
      </c>
      <c r="H10" s="230">
        <f>IF(ISNUMBER((Datos!M10-Datos!W10)/Datos!W10),(Datos!M10-Datos!W10)/Datos!W10," - ")</f>
        <v>-1</v>
      </c>
      <c r="I10" s="350">
        <f>IF(ISNUMBER((Tasas!C10-Datos!BE10)/Datos!BE10),(Tasas!C10-Datos!BE10)/Datos!BE10," - ")</f>
        <v>-0.4285714285714286</v>
      </c>
      <c r="J10" s="349">
        <f>IF(ISNUMBER((Tasas!D10-Datos!BF10)/Datos!BF10),(Tasas!D10-Datos!BF10)/Datos!BF10," - ")</f>
        <v>-1</v>
      </c>
      <c r="K10" s="351">
        <f>IF(ISNUMBER((Tasas!E10-Datos!BG10)/Datos!BG10),(Tasas!E10-Datos!BG10)/Datos!BG10," - ")</f>
        <v>-0.36263736263736257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0.4263565891472868</v>
      </c>
      <c r="I12" s="350">
        <f>IF(ISNUMBER((Tasas!C12-Datos!BE12)/Datos!BE12),(Tasas!C12-Datos!BE12)/Datos!BE12," - ")</f>
        <v>0.37585743871732369</v>
      </c>
      <c r="J12" s="349">
        <f>IF(ISNUMBER((Tasas!D12-Datos!BF12)/Datos!BF12),(Tasas!D12-Datos!BF12)/Datos!BF12," - ")</f>
        <v>3.926743442098523E-2</v>
      </c>
      <c r="K12" s="351">
        <f>IF(ISNUMBER((Tasas!E12-Datos!BG12)/Datos!BG12),(Tasas!E12-Datos!BG12)/Datos!BG12," - ")</f>
        <v>0.27062884180859587</v>
      </c>
      <c r="M12" t="e">
        <f>IF(Monitorios="SI",Datos!CE12,0)</f>
        <v>#REF!</v>
      </c>
      <c r="N12" t="e">
        <f>IF(Monitorios="SI",Datos!CF12,0)</f>
        <v>#REF!</v>
      </c>
      <c r="O12" t="e">
        <f>IF(Monitorios="SI",Datos!CG12,0)</f>
        <v>#REF!</v>
      </c>
      <c r="P12" t="e">
        <f>IF(Monitorios="SI",Datos!CH12,0)</f>
        <v>#REF!</v>
      </c>
      <c r="Q12">
        <f>IF(J_V="SI",0,Datos!AG12)</f>
        <v>75</v>
      </c>
      <c r="R12">
        <f>IF(J_V="SI",0,Datos!AH12)</f>
        <v>24</v>
      </c>
      <c r="S12">
        <f>IF(J_V="SI",0,Datos!AI12)</f>
        <v>27</v>
      </c>
      <c r="T12">
        <f>IF(J_V="SI",0,Datos!AJ12)</f>
        <v>60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0.40458015267175573</v>
      </c>
      <c r="I13" s="357">
        <f>IF(ISNUMBER((Tasas!C13-Datos!BE13)/Datos!BE13),(Tasas!C13-Datos!BE13)/Datos!BE13," - ")</f>
        <v>0.35524524949975894</v>
      </c>
      <c r="J13" s="355">
        <f>IF(ISNUMBER((Tasas!D13-Datos!BF13)/Datos!BF13),(Tasas!D13-Datos!BF13)/Datos!BF13," - ")</f>
        <v>1.2274785624819345E-2</v>
      </c>
      <c r="K13" s="358">
        <f>IF(ISNUMBER((Tasas!E13-Datos!BG13)/Datos!BG13),(Tasas!E13-Datos!BG13)/Datos!BG13," - ")</f>
        <v>0.25563496426608034</v>
      </c>
      <c r="M13" t="e">
        <f>IF(Monitorios="SI",Datos!CE13,0)</f>
        <v>#REF!</v>
      </c>
      <c r="N13" t="e">
        <f>IF(Monitorios="SI",Datos!CF13,0)</f>
        <v>#REF!</v>
      </c>
      <c r="O13" t="e">
        <f>IF(Monitorios="SI",Datos!CG13,0)</f>
        <v>#REF!</v>
      </c>
      <c r="P13" t="e">
        <f>IF(Monitorios="SI",Datos!CH13,0)</f>
        <v>#REF!</v>
      </c>
      <c r="Q13">
        <f>IF(J_V="SI",0,Datos!AG13)</f>
        <v>75</v>
      </c>
      <c r="R13">
        <f>IF(J_V="SI",0,Datos!AH13)</f>
        <v>24</v>
      </c>
      <c r="S13">
        <f>IF(J_V="SI",0,Datos!AI13)</f>
        <v>27</v>
      </c>
      <c r="T13">
        <f>IF(J_V="SI",0,Datos!AJ13)</f>
        <v>60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0.36380090497737555</v>
      </c>
      <c r="E16" s="348">
        <f>IF(ISNUMBER(
   IF(D_I="SI",(Datos!J16-Datos!T16)/Datos!T16,(Datos!J16+Datos!AD16-(Datos!T16+Datos!AL16))/(Datos!T16+Datos!AL16))
     ),IF(D_I="SI",(Datos!J16-Datos!T16)/Datos!T16,(Datos!J16+Datos!AD16-(Datos!T16+Datos!AL16))/(Datos!T16+Datos!AL16))," - ")</f>
        <v>0.29090909090909089</v>
      </c>
      <c r="F16" s="348">
        <f>IF(ISNUMBER(
   IF(D_I="SI",(Datos!K16-Datos!U16)/Datos!U16,(Datos!K16+Datos!AE16-(Datos!U16+Datos!AM16))/(Datos!U16+Datos!AM16))
     ),IF(D_I="SI",(Datos!K16-Datos!U16)/Datos!U16,(Datos!K16+Datos!AE16-(Datos!U16+Datos!AM16))/(Datos!U16+Datos!AM16))," - ")</f>
        <v>0.44186046511627908</v>
      </c>
      <c r="G16" s="349">
        <f>IF(ISNUMBER(
   IF(D_I="SI",(Datos!L16-Datos!V16)/Datos!V16,(Datos!L16+Datos!AF16-(Datos!V16+Datos!AN16))/(Datos!V16+Datos!AN16))
     ),IF(D_I="SI",(Datos!L16-Datos!V16)/Datos!V16,(Datos!L16+Datos!AF16-(Datos!V16+Datos!AN16))/(Datos!V16+Datos!AN16))," - ")</f>
        <v>0.29103815439219166</v>
      </c>
      <c r="H16" s="230">
        <f>IF(ISNUMBER((Datos!M16-Datos!W16)/Datos!W16),(Datos!M16-Datos!W16)/Datos!W16," - ")</f>
        <v>-0.32911392405063289</v>
      </c>
      <c r="I16" s="350">
        <f>IF(ISNUMBER((Tasas!C16-Datos!BE16)/Datos!BE16),(Tasas!C16-Datos!BE16)/Datos!BE16," - ")</f>
        <v>-0.10460257034089931</v>
      </c>
      <c r="J16" s="349">
        <f>IF(ISNUMBER((Tasas!D16-Datos!BF16)/Datos!BF16),(Tasas!D16-Datos!BF16)/Datos!BF16," - ")</f>
        <v>-0.53470804409963257</v>
      </c>
      <c r="K16" s="351">
        <f>IF(ISNUMBER((Tasas!E16-Datos!BG16)/Datos!BG16),(Tasas!E16-Datos!BG16)/Datos!BG16," - ")</f>
        <v>-6.8535337717924694E-2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0.45535714285714285</v>
      </c>
      <c r="E17" s="348">
        <f>IF(ISNUMBER(
   IF(D_I="SI",(Datos!J17-Datos!T17)/Datos!T17,(Datos!J17+Datos!AD17-(Datos!T17+Datos!AL17))/(Datos!T17+Datos!AL17))
     ),IF(D_I="SI",(Datos!J17-Datos!T17)/Datos!T17,(Datos!J17+Datos!AD17-(Datos!T17+Datos!AL17))/(Datos!T17+Datos!AL17))," - ")</f>
        <v>0.18</v>
      </c>
      <c r="F17" s="348">
        <f>IF(ISNUMBER(
   IF(D_I="SI",(Datos!K17-Datos!U17)/Datos!U17,(Datos!K17+Datos!AE17-(Datos!U17+Datos!AM17))/(Datos!U17+Datos!AM17))
     ),IF(D_I="SI",(Datos!K17-Datos!U17)/Datos!U17,(Datos!K17+Datos!AE17-(Datos!U17+Datos!AM17))/(Datos!U17+Datos!AM17))," - ")</f>
        <v>5.4054054054054057E-2</v>
      </c>
      <c r="G17" s="349">
        <f>IF(ISNUMBER(
   IF(D_I="SI",(Datos!L17-Datos!V17)/Datos!V17,(Datos!L17+Datos!AF17-(Datos!V17+Datos!AN17))/(Datos!V17+Datos!AN17))
     ),IF(D_I="SI",(Datos!L17-Datos!V17)/Datos!V17,(Datos!L17+Datos!AF17-(Datos!V17+Datos!AN17))/(Datos!V17+Datos!AN17))," - ")</f>
        <v>0.46400000000000002</v>
      </c>
      <c r="H17" s="230">
        <f>IF(ISNUMBER((Datos!M17-Datos!W17)/Datos!W17),(Datos!M17-Datos!W17)/Datos!W17," - ")</f>
        <v>1.25</v>
      </c>
      <c r="I17" s="350">
        <f>IF(ISNUMBER((Tasas!C17-Datos!BE17)/Datos!BE17),(Tasas!C17-Datos!BE17)/Datos!BE17," - ")</f>
        <v>0.38892307692307693</v>
      </c>
      <c r="J17" s="349">
        <f>IF(ISNUMBER((Tasas!D17-Datos!BF17)/Datos!BF17),(Tasas!D17-Datos!BF17)/Datos!BF17," - ")</f>
        <v>1.1346153846153846</v>
      </c>
      <c r="K17" s="351">
        <f>IF(ISNUMBER((Tasas!E17-Datos!BG17)/Datos!BG17),(Tasas!E17-Datos!BG17)/Datos!BG17," - ")</f>
        <v>0.30009496676163355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0.37222678718159408</v>
      </c>
      <c r="E18" s="354">
        <f>IF(ISNUMBER(
   IF(D_I="SI",(Datos!J18-Datos!T18)/Datos!T18,(Datos!J18+Datos!AD18-(Datos!T18+Datos!AL18))/(Datos!T18+Datos!AL18))
     ),IF(D_I="SI",(Datos!J18-Datos!T18)/Datos!T18,(Datos!J18+Datos!AD18-(Datos!T18+Datos!AL18))/(Datos!T18+Datos!AL18))," - ")</f>
        <v>0.2795918367346939</v>
      </c>
      <c r="F18" s="354">
        <f>IF(ISNUMBER(
   IF(D_I="SI",(Datos!K18-Datos!U18)/Datos!U18,(Datos!K18+Datos!AE18-(Datos!U18+Datos!AM18))/(Datos!U18+Datos!AM18))
     ),IF(D_I="SI",(Datos!K18-Datos!U18)/Datos!U18,(Datos!K18+Datos!AE18-(Datos!U18+Datos!AM18))/(Datos!U18+Datos!AM18))," - ")</f>
        <v>0.41113490364025695</v>
      </c>
      <c r="G18" s="355">
        <f>IF(ISNUMBER(
   IF(D_I="SI",(Datos!L18-Datos!V18)/Datos!V18,(Datos!L18+Datos!AF18-(Datos!V18+Datos!AN18))/(Datos!V18+Datos!AN18))
     ),IF(D_I="SI",(Datos!L18-Datos!V18)/Datos!V18,(Datos!L18+Datos!AF18-(Datos!V18+Datos!AN18))/(Datos!V18+Datos!AN18))," - ")</f>
        <v>0.30830670926517573</v>
      </c>
      <c r="H18" s="356">
        <f>IF(ISNUMBER((Datos!M18-Datos!W18)/Datos!W18),(Datos!M18-Datos!W18)/Datos!W18," - ")</f>
        <v>-0.25301204819277107</v>
      </c>
      <c r="I18" s="357">
        <f>IF(ISNUMBER((Tasas!C18-Datos!BE18)/Datos!BE18),(Tasas!C18-Datos!BE18)/Datos!BE18," - ")</f>
        <v>-7.2869145331051474E-2</v>
      </c>
      <c r="J18" s="355">
        <f>IF(ISNUMBER((Tasas!D18-Datos!BF18)/Datos!BF18),(Tasas!D18-Datos!BF18)/Datos!BF18," - ")</f>
        <v>-0.47064738468288936</v>
      </c>
      <c r="K18" s="358">
        <f>IF(ISNUMBER((Tasas!E18-Datos!BG18)/Datos!BG18),(Tasas!E18-Datos!BG18)/Datos!BG18," - ")</f>
        <v>-4.6416033951070038E-2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0.31819645732689211</v>
      </c>
      <c r="E19" s="363">
        <f>IF(ISNUMBER(
   IF(J_V="SI",(Datos!J19-Datos!T19)/Datos!T19,(Datos!J19+Datos!Z19-(Datos!T19+Datos!AH19))/(Datos!T19+Datos!AH19))
     ),IF(J_V="SI",(Datos!J19-Datos!T19)/Datos!T19,(Datos!J19+Datos!Z19-(Datos!T19+Datos!AH19))/(Datos!T19+Datos!AH19))," - ")</f>
        <v>4.7048759623609923E-2</v>
      </c>
      <c r="F19" s="363">
        <f>IF(ISNUMBER(
   IF(J_V="SI",(Datos!K19-Datos!U19)/Datos!U19,(Datos!K19+Datos!AA19-(Datos!U19+Datos!AI19))/(Datos!U19+Datos!AI19))
     ),IF(J_V="SI",(Datos!K19-Datos!U19)/Datos!U19,(Datos!K19+Datos!AA19-(Datos!U19+Datos!AI19))/(Datos!U19+Datos!AI19))," - ")</f>
        <v>0.15028901734104047</v>
      </c>
      <c r="G19" s="364">
        <f>IF(ISNUMBER(
   IF(J_V="SI",(Datos!L19-Datos!V19)/Datos!V19,(Datos!L19+Datos!AB19-(Datos!V19+Datos!AJ19))/(Datos!V19+Datos!AJ19))
     ),IF(J_V="SI",(Datos!L19-Datos!V19)/Datos!V19,(Datos!L19+Datos!AB19-(Datos!V19+Datos!AJ19))/(Datos!V19+Datos!AJ19))," - ")</f>
        <v>0.28482393268931133</v>
      </c>
      <c r="H19" s="365">
        <f>IF(ISNUMBER((Datos!M19-Datos!W19)/Datos!W19),(Datos!M19-Datos!W19)/Datos!W19," - ")</f>
        <v>0.14953271028037382</v>
      </c>
      <c r="I19" s="362">
        <f>IF(ISNUMBER((Tasas!C19-Datos!BE19)/Datos!BE19),(Tasas!C19-Datos!BE19)/Datos!BE19," - ")</f>
        <v>0.11695748922236621</v>
      </c>
      <c r="J19" s="363">
        <f>IF(ISNUMBER((Tasas!D19-Datos!BF19)/Datos!BF19),(Tasas!D19-Datos!BF19)/Datos!BF19," - ")</f>
        <v>-0.22794477804183366</v>
      </c>
      <c r="K19" s="364">
        <f>IF(ISNUMBER((Tasas!E19-Datos!BG19)/Datos!BG19),(Tasas!E19-Datos!BG19)/Datos!BG19," - ")</f>
        <v>8.149662679330183E-2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5.9500183160713517E-2</v>
      </c>
      <c r="E21" s="278">
        <f t="shared" si="1"/>
        <v>0.13448860154023196</v>
      </c>
      <c r="F21" s="278">
        <f t="shared" si="1"/>
        <v>0.54471505537444476</v>
      </c>
      <c r="G21" s="279">
        <f t="shared" si="1"/>
        <v>7.8498086842392262E-2</v>
      </c>
      <c r="H21" s="285">
        <f t="shared" si="1"/>
        <v>0.77959315226244474</v>
      </c>
      <c r="I21" s="277">
        <f t="shared" si="1"/>
        <v>0.33900576739879856</v>
      </c>
      <c r="J21" s="278">
        <f t="shared" si="1"/>
        <v>0.73275081895556227</v>
      </c>
      <c r="K21" s="279">
        <f t="shared" si="1"/>
        <v>0.26333635079800749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Tvnv6J92uMo7RdgLxJDAREW2hRCL1Ef+m3N2FXIx8j2Hbo+3UFuxq7Gwi3QBNBkRgH4e+WoabC1Ar9d/Zz7hg==" saltValue="I/juSCXrf4YwV0kDD20YL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